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5.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Override PartName="/xl/charts/colors2.xml" ContentType="application/vnd.ms-office.chartcolorstyle+xml"/>
  <Override PartName="/xl/charts/style2.xml" ContentType="application/vnd.ms-office.chartstyle+xml"/>
  <Override PartName="/xl/charts/colors3.xml" ContentType="application/vnd.ms-office.chartcolorstyle+xml"/>
  <Override PartName="/xl/charts/style3.xml" ContentType="application/vnd.ms-office.chartstyle+xml"/>
  <Override PartName="/xl/charts/colors4.xml" ContentType="application/vnd.ms-office.chartcolorstyle+xml"/>
  <Override PartName="/xl/charts/style4.xml" ContentType="application/vnd.ms-office.chartstyle+xml"/>
  <Override PartName="/xl/charts/colors5.xml" ContentType="application/vnd.ms-office.chartcolorstyle+xml"/>
  <Override PartName="/xl/charts/style5.xml" ContentType="application/vnd.ms-office.chartstyle+xml"/>
  <Override PartName="/xl/charts/colors6.xml" ContentType="application/vnd.ms-office.chartcolorstyle+xml"/>
  <Override PartName="/xl/charts/style6.xml" ContentType="application/vnd.ms-office.chartstyle+xml"/>
  <Override PartName="/xl/charts/colors7.xml" ContentType="application/vnd.ms-office.chartcolorstyle+xml"/>
  <Override PartName="/xl/charts/style7.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0" yWindow="0" windowWidth="19320" windowHeight="7155" tabRatio="590" firstSheet="1" activeTab="5"/>
  </bookViews>
  <sheets>
    <sheet name="Escala" sheetId="13" state="hidden" r:id="rId1"/>
    <sheet name="S. FORMACION " sheetId="22" r:id="rId2"/>
    <sheet name="S. PROY. SOCIAL " sheetId="4" r:id="rId3"/>
    <sheet name="S. INVESTIGACIÓN" sheetId="3" r:id="rId4"/>
    <sheet name="S. BIENESTAR" sheetId="5" r:id="rId5"/>
    <sheet name="S. ADMINISTRATIVO" sheetId="6" r:id="rId6"/>
    <sheet name="SEGUIMIENTO" sheetId="1" state="hidden" r:id="rId7"/>
    <sheet name="Ejecución $" sheetId="20" state="hidden" r:id="rId8"/>
    <sheet name="ADMINISTRATIVO" sheetId="18" state="hidden" r:id="rId9"/>
    <sheet name="BIENESTAR" sheetId="17" state="hidden" r:id="rId10"/>
    <sheet name="PROPYECCION SOCIAL" sheetId="16" state="hidden" r:id="rId11"/>
    <sheet name="INVESTIGACIÓN" sheetId="8" state="hidden" r:id="rId12"/>
    <sheet name="FORMACIÓN" sheetId="7" state="hidden" r:id="rId13"/>
    <sheet name="Asignación" sheetId="19" state="hidden" r:id="rId14"/>
    <sheet name="Plan desarroollo" sheetId="15" state="hidden" r:id="rId15"/>
  </sheets>
  <externalReferences>
    <externalReference r:id="rId16"/>
    <externalReference r:id="rId17"/>
    <externalReference r:id="rId18"/>
    <externalReference r:id="rId19"/>
  </externalReferences>
  <definedNames>
    <definedName name="_xlnm.Print_Titles" localSheetId="5">'S. ADMINISTRATIVO'!$C:$F,'S. ADMINISTRATIVO'!$5:$7</definedName>
    <definedName name="_xlnm.Print_Titles" localSheetId="4">'S. BIENESTAR'!$C:$F,'S. BIENESTAR'!$1:$3</definedName>
    <definedName name="_xlnm.Print_Titles" localSheetId="1">'S. FORMACION '!$C:$F,'S. FORMACION '!$1:$3</definedName>
    <definedName name="_xlnm.Print_Titles" localSheetId="3">'S. INVESTIGACIÓN'!$C:$F,'S. INVESTIGACIÓN'!$2:$4</definedName>
    <definedName name="_xlnm.Print_Titles" localSheetId="2">'S. PROY. SOCIAL '!$C:$F,'S. PROY. SOCIAL '!$1:$3</definedName>
    <definedName name="_xlnm.Print_Titles" localSheetId="6">SEGUIMIENTO!$C:$F,SEGUIMIENTO!$1:$8</definedName>
  </definedNames>
  <calcPr calcId="145621"/>
</workbook>
</file>

<file path=xl/calcChain.xml><?xml version="1.0" encoding="utf-8"?>
<calcChain xmlns="http://schemas.openxmlformats.org/spreadsheetml/2006/main">
  <c r="J28" i="6" l="1"/>
  <c r="AT27" i="6"/>
  <c r="AV27" i="6" s="1"/>
  <c r="AL27" i="6"/>
  <c r="AM27" i="6" s="1"/>
  <c r="AG27" i="6"/>
  <c r="AF27" i="6"/>
  <c r="AH27" i="6" s="1"/>
  <c r="AE27" i="6"/>
  <c r="AC27" i="6"/>
  <c r="AA27" i="6"/>
  <c r="Y27" i="6"/>
  <c r="U27" i="6"/>
  <c r="AQ27" i="6" s="1"/>
  <c r="S27" i="6"/>
  <c r="R27" i="6"/>
  <c r="Q27" i="6"/>
  <c r="O27" i="6"/>
  <c r="M27" i="6"/>
  <c r="K27" i="6"/>
  <c r="E27" i="6"/>
  <c r="D27" i="6"/>
  <c r="C27" i="6"/>
  <c r="AT26" i="6"/>
  <c r="AM26" i="6"/>
  <c r="AG26" i="6"/>
  <c r="AF26" i="6"/>
  <c r="AH26" i="6" s="1"/>
  <c r="AE26" i="6"/>
  <c r="AC26" i="6"/>
  <c r="AA26" i="6"/>
  <c r="T26" i="6"/>
  <c r="U26" i="6" s="1"/>
  <c r="R26" i="6"/>
  <c r="Q26" i="6"/>
  <c r="O26" i="6"/>
  <c r="M26" i="6"/>
  <c r="I26" i="6"/>
  <c r="K26" i="6" s="1"/>
  <c r="E26" i="6"/>
  <c r="D26" i="6"/>
  <c r="C26" i="6"/>
  <c r="AS25" i="6"/>
  <c r="AQ25" i="6"/>
  <c r="AO25" i="6"/>
  <c r="AM25" i="6"/>
  <c r="AE25" i="6"/>
  <c r="AC25" i="6"/>
  <c r="AA25" i="6"/>
  <c r="Y25" i="6"/>
  <c r="Q25" i="6"/>
  <c r="O25" i="6"/>
  <c r="M25" i="6"/>
  <c r="K25" i="6"/>
  <c r="E25" i="6"/>
  <c r="D25" i="6"/>
  <c r="C25" i="6"/>
  <c r="AU24" i="6"/>
  <c r="AT24" i="6"/>
  <c r="AM24" i="6"/>
  <c r="AG24" i="6"/>
  <c r="AF24" i="6"/>
  <c r="AH24" i="6" s="1"/>
  <c r="AE24" i="6"/>
  <c r="AC24" i="6"/>
  <c r="AA24" i="6"/>
  <c r="Y24" i="6"/>
  <c r="T24" i="6"/>
  <c r="S24" i="6"/>
  <c r="U24" i="6" s="1"/>
  <c r="R24" i="6"/>
  <c r="Q24" i="6"/>
  <c r="O24" i="6"/>
  <c r="M24" i="6"/>
  <c r="K24" i="6"/>
  <c r="E24" i="6"/>
  <c r="D24" i="6"/>
  <c r="C24" i="6"/>
  <c r="AT23" i="6"/>
  <c r="AV23" i="6" s="1"/>
  <c r="AF23" i="6"/>
  <c r="AH23" i="6" s="1"/>
  <c r="AE23" i="6"/>
  <c r="AC23" i="6"/>
  <c r="AA23" i="6"/>
  <c r="Y23" i="6"/>
  <c r="X23" i="6"/>
  <c r="AG23" i="6" s="1"/>
  <c r="U23" i="6"/>
  <c r="AQ23" i="6" s="1"/>
  <c r="R23" i="6"/>
  <c r="Q23" i="6"/>
  <c r="O23" i="6"/>
  <c r="M23" i="6"/>
  <c r="K23" i="6"/>
  <c r="E23" i="6"/>
  <c r="D23" i="6"/>
  <c r="C23" i="6"/>
  <c r="AT22" i="6"/>
  <c r="AV22" i="6" s="1"/>
  <c r="AF22" i="6"/>
  <c r="AH22" i="6" s="1"/>
  <c r="AE22" i="6"/>
  <c r="AC22" i="6"/>
  <c r="AA22" i="6"/>
  <c r="X22" i="6"/>
  <c r="AL22" i="6" s="1"/>
  <c r="U22" i="6"/>
  <c r="AS22" i="6" s="1"/>
  <c r="R22" i="6"/>
  <c r="Q22" i="6"/>
  <c r="M22" i="6"/>
  <c r="K22" i="6"/>
  <c r="E22" i="6"/>
  <c r="D22" i="6"/>
  <c r="C22" i="6"/>
  <c r="AT21" i="6"/>
  <c r="AV21" i="6" s="1"/>
  <c r="AF21" i="6"/>
  <c r="AH21" i="6" s="1"/>
  <c r="AE21" i="6"/>
  <c r="AC21" i="6"/>
  <c r="AA21" i="6"/>
  <c r="U21" i="6"/>
  <c r="AS21" i="6" s="1"/>
  <c r="R21" i="6"/>
  <c r="Q21" i="6"/>
  <c r="O21" i="6"/>
  <c r="M21" i="6"/>
  <c r="K21" i="6"/>
  <c r="W21" i="6" s="1"/>
  <c r="E21" i="6"/>
  <c r="D21" i="6"/>
  <c r="C21" i="6"/>
  <c r="AU20" i="6"/>
  <c r="AT20" i="6"/>
  <c r="AV20" i="6" s="1"/>
  <c r="AM20" i="6"/>
  <c r="AF20" i="6"/>
  <c r="AH20" i="6" s="1"/>
  <c r="AE20" i="6"/>
  <c r="AC20" i="6"/>
  <c r="AA20" i="6"/>
  <c r="X20" i="6"/>
  <c r="Y20" i="6" s="1"/>
  <c r="U20" i="6"/>
  <c r="AQ20" i="6" s="1"/>
  <c r="R20" i="6"/>
  <c r="Q20" i="6"/>
  <c r="O20" i="6"/>
  <c r="M20" i="6"/>
  <c r="K20" i="6"/>
  <c r="E20" i="6"/>
  <c r="D20" i="6"/>
  <c r="C20" i="6"/>
  <c r="AT19" i="6"/>
  <c r="AV19" i="6" s="1"/>
  <c r="AF19" i="6"/>
  <c r="AH19" i="6" s="1"/>
  <c r="AE19" i="6"/>
  <c r="AC19" i="6"/>
  <c r="AA19" i="6"/>
  <c r="X19" i="6"/>
  <c r="AG19" i="6" s="1"/>
  <c r="AI19" i="6" s="1"/>
  <c r="U19" i="6"/>
  <c r="AQ19" i="6" s="1"/>
  <c r="R19" i="6"/>
  <c r="Q19" i="6"/>
  <c r="O19" i="6"/>
  <c r="M19" i="6"/>
  <c r="K19" i="6"/>
  <c r="E19" i="6"/>
  <c r="D19" i="6"/>
  <c r="C19" i="6"/>
  <c r="AT18" i="6"/>
  <c r="AV18" i="6" s="1"/>
  <c r="AF18" i="6"/>
  <c r="AH18" i="6" s="1"/>
  <c r="AE18" i="6"/>
  <c r="AC18" i="6"/>
  <c r="AA18" i="6"/>
  <c r="X18" i="6"/>
  <c r="AL18" i="6" s="1"/>
  <c r="U18" i="6"/>
  <c r="AS18" i="6" s="1"/>
  <c r="R18" i="6"/>
  <c r="Q18" i="6"/>
  <c r="O18" i="6"/>
  <c r="M18" i="6"/>
  <c r="K18" i="6"/>
  <c r="E18" i="6"/>
  <c r="D18" i="6"/>
  <c r="C18" i="6"/>
  <c r="AT17" i="6"/>
  <c r="AF17" i="6"/>
  <c r="AH17" i="6" s="1"/>
  <c r="AE17" i="6"/>
  <c r="AC17" i="6"/>
  <c r="AA17" i="6"/>
  <c r="X17" i="6"/>
  <c r="AG17" i="6" s="1"/>
  <c r="AI17" i="6" s="1"/>
  <c r="T17" i="6"/>
  <c r="U17" i="6" s="1"/>
  <c r="R17" i="6"/>
  <c r="Q17" i="6"/>
  <c r="O17" i="6"/>
  <c r="M17" i="6"/>
  <c r="K17" i="6"/>
  <c r="E17" i="6"/>
  <c r="D17" i="6"/>
  <c r="C17" i="6"/>
  <c r="AT16" i="6"/>
  <c r="AL16" i="6"/>
  <c r="AM16" i="6" s="1"/>
  <c r="AG16" i="6"/>
  <c r="AF16" i="6"/>
  <c r="AH16" i="6" s="1"/>
  <c r="AE16" i="6"/>
  <c r="AC16" i="6"/>
  <c r="AA16" i="6"/>
  <c r="Y16" i="6"/>
  <c r="T16" i="6"/>
  <c r="U16" i="6" s="1"/>
  <c r="R16" i="6"/>
  <c r="Q16" i="6"/>
  <c r="O16" i="6"/>
  <c r="M16" i="6"/>
  <c r="K16" i="6"/>
  <c r="E16" i="6"/>
  <c r="D16" i="6"/>
  <c r="C16" i="6"/>
  <c r="AT15" i="6"/>
  <c r="AF15" i="6"/>
  <c r="AH15" i="6" s="1"/>
  <c r="AE15" i="6"/>
  <c r="AC15" i="6"/>
  <c r="AA15" i="6"/>
  <c r="X15" i="6"/>
  <c r="AL15" i="6" s="1"/>
  <c r="T15" i="6"/>
  <c r="S15" i="6"/>
  <c r="U15" i="6" s="1"/>
  <c r="R15" i="6"/>
  <c r="Q15" i="6"/>
  <c r="O15" i="6"/>
  <c r="M15" i="6"/>
  <c r="K15" i="6"/>
  <c r="E15" i="6"/>
  <c r="D15" i="6"/>
  <c r="C15" i="6"/>
  <c r="AT14" i="6"/>
  <c r="AV14" i="6" s="1"/>
  <c r="AF14" i="6"/>
  <c r="AH14" i="6" s="1"/>
  <c r="AE14" i="6"/>
  <c r="AC14" i="6"/>
  <c r="AA14" i="6"/>
  <c r="Y14" i="6"/>
  <c r="X14" i="6"/>
  <c r="AG14" i="6" s="1"/>
  <c r="U14" i="6"/>
  <c r="AQ14" i="6" s="1"/>
  <c r="T14" i="6"/>
  <c r="R14" i="6"/>
  <c r="Q14" i="6"/>
  <c r="O14" i="6"/>
  <c r="M14" i="6"/>
  <c r="K14" i="6"/>
  <c r="E14" i="6"/>
  <c r="D14" i="6"/>
  <c r="C14" i="6"/>
  <c r="AT13" i="6"/>
  <c r="AS13" i="6"/>
  <c r="AQ13" i="6"/>
  <c r="AO13" i="6"/>
  <c r="AM13" i="6"/>
  <c r="AF13" i="6"/>
  <c r="AE13" i="6"/>
  <c r="AC13" i="6"/>
  <c r="AA13" i="6"/>
  <c r="Y13" i="6"/>
  <c r="R13" i="6"/>
  <c r="Q13" i="6"/>
  <c r="O13" i="6"/>
  <c r="M13" i="6"/>
  <c r="K13" i="6"/>
  <c r="I13" i="6"/>
  <c r="I28" i="6" s="1"/>
  <c r="E13" i="6"/>
  <c r="D13" i="6"/>
  <c r="C13" i="6"/>
  <c r="AT12" i="6"/>
  <c r="AF12" i="6"/>
  <c r="AH12" i="6" s="1"/>
  <c r="AE12" i="6"/>
  <c r="AC12" i="6"/>
  <c r="AA12" i="6"/>
  <c r="Y12" i="6"/>
  <c r="X12" i="6"/>
  <c r="U12" i="6"/>
  <c r="S12" i="6"/>
  <c r="R12" i="6"/>
  <c r="Q12" i="6"/>
  <c r="O12" i="6"/>
  <c r="M12" i="6"/>
  <c r="K12" i="6"/>
  <c r="E12" i="6"/>
  <c r="D12" i="6"/>
  <c r="C12" i="6"/>
  <c r="AU11" i="6"/>
  <c r="AT11" i="6"/>
  <c r="AV11" i="6" s="1"/>
  <c r="AM11" i="6"/>
  <c r="AG11" i="6"/>
  <c r="AI11" i="6" s="1"/>
  <c r="AF11" i="6"/>
  <c r="AH11" i="6" s="1"/>
  <c r="AE11" i="6"/>
  <c r="AC11" i="6"/>
  <c r="AA11" i="6"/>
  <c r="Y11" i="6"/>
  <c r="U11" i="6"/>
  <c r="AS11" i="6" s="1"/>
  <c r="T11" i="6"/>
  <c r="R11" i="6"/>
  <c r="Q11" i="6"/>
  <c r="O11" i="6"/>
  <c r="M11" i="6"/>
  <c r="K11" i="6"/>
  <c r="E11" i="6"/>
  <c r="D11" i="6"/>
  <c r="C11" i="6"/>
  <c r="AU10" i="6"/>
  <c r="AT10" i="6"/>
  <c r="AM10" i="6"/>
  <c r="AG10" i="6"/>
  <c r="AF10" i="6"/>
  <c r="AH10" i="6" s="1"/>
  <c r="AE10" i="6"/>
  <c r="AC10" i="6"/>
  <c r="AA10" i="6"/>
  <c r="Y10" i="6"/>
  <c r="T10" i="6"/>
  <c r="S10" i="6"/>
  <c r="U10" i="6" s="1"/>
  <c r="R10" i="6"/>
  <c r="Q10" i="6"/>
  <c r="O10" i="6"/>
  <c r="M10" i="6"/>
  <c r="K10" i="6"/>
  <c r="E10" i="6"/>
  <c r="D10" i="6"/>
  <c r="C10" i="6"/>
  <c r="AU9" i="6"/>
  <c r="AT9" i="6"/>
  <c r="AM9" i="6"/>
  <c r="AG9" i="6"/>
  <c r="AI9" i="6" s="1"/>
  <c r="AF9" i="6"/>
  <c r="AH9" i="6" s="1"/>
  <c r="AE9" i="6"/>
  <c r="AC9" i="6"/>
  <c r="AA9" i="6"/>
  <c r="Y9" i="6"/>
  <c r="S9" i="6"/>
  <c r="U9" i="6" s="1"/>
  <c r="R9" i="6"/>
  <c r="Q9" i="6"/>
  <c r="O9" i="6"/>
  <c r="M9" i="6"/>
  <c r="K9" i="6"/>
  <c r="E9" i="6"/>
  <c r="D9" i="6"/>
  <c r="C9" i="6"/>
  <c r="AU8" i="6"/>
  <c r="AT8" i="6"/>
  <c r="AV8" i="6" s="1"/>
  <c r="AM8" i="6"/>
  <c r="AG8" i="6"/>
  <c r="AI8" i="6" s="1"/>
  <c r="AF8" i="6"/>
  <c r="AH8" i="6" s="1"/>
  <c r="AE8" i="6"/>
  <c r="AC8" i="6"/>
  <c r="AA8" i="6"/>
  <c r="Y8" i="6"/>
  <c r="T8" i="6"/>
  <c r="S8" i="6"/>
  <c r="U8" i="6" s="1"/>
  <c r="R8" i="6"/>
  <c r="Q8" i="6"/>
  <c r="O8" i="6"/>
  <c r="M8" i="6"/>
  <c r="K8" i="6"/>
  <c r="K28" i="6" s="1"/>
  <c r="E8" i="6"/>
  <c r="C8" i="6"/>
  <c r="AX4" i="6"/>
  <c r="AV4" i="6"/>
  <c r="AT4" i="6"/>
  <c r="AR4" i="6"/>
  <c r="AO4" i="6"/>
  <c r="AJ4" i="6"/>
  <c r="AH4" i="6"/>
  <c r="AF4" i="6"/>
  <c r="AD4" i="6"/>
  <c r="AA4" i="6"/>
  <c r="AO3" i="6"/>
  <c r="AA3" i="6"/>
  <c r="AO2" i="6"/>
  <c r="AA2" i="6"/>
  <c r="AO1" i="6"/>
  <c r="AA1" i="6"/>
  <c r="AQ9" i="6" l="1"/>
  <c r="AS9" i="6"/>
  <c r="AO9" i="6"/>
  <c r="AV9" i="6"/>
  <c r="AQ8" i="6"/>
  <c r="AS8" i="6"/>
  <c r="AO8" i="6"/>
  <c r="AW8" i="6"/>
  <c r="AW9" i="6"/>
  <c r="AI10" i="6"/>
  <c r="AV10" i="6"/>
  <c r="AW10" i="6" s="1"/>
  <c r="AW11" i="6"/>
  <c r="AS10" i="6"/>
  <c r="AO10" i="6"/>
  <c r="AQ10" i="6"/>
  <c r="AQ11" i="6"/>
  <c r="X28" i="6"/>
  <c r="X29" i="6" s="1"/>
  <c r="AL12" i="6"/>
  <c r="AG12" i="6"/>
  <c r="AI12" i="6" s="1"/>
  <c r="AS15" i="6"/>
  <c r="AO15" i="6"/>
  <c r="AQ15" i="6"/>
  <c r="AU15" i="6"/>
  <c r="AM15" i="6"/>
  <c r="AQ16" i="6"/>
  <c r="AS16" i="6"/>
  <c r="AO16" i="6"/>
  <c r="AI16" i="6"/>
  <c r="AV16" i="6"/>
  <c r="AW20" i="6"/>
  <c r="Y21" i="6"/>
  <c r="AK21" i="6" s="1"/>
  <c r="W28" i="6"/>
  <c r="W29" i="6" s="1"/>
  <c r="AG21" i="6"/>
  <c r="AI21" i="6" s="1"/>
  <c r="AI23" i="6"/>
  <c r="AI24" i="6"/>
  <c r="AV24" i="6"/>
  <c r="AI26" i="6"/>
  <c r="AI27" i="6"/>
  <c r="AO11" i="6"/>
  <c r="AS12" i="6"/>
  <c r="AO12" i="6"/>
  <c r="AQ12" i="6"/>
  <c r="AV12" i="6"/>
  <c r="AI14" i="6"/>
  <c r="AV15" i="6"/>
  <c r="AQ17" i="6"/>
  <c r="AS17" i="6"/>
  <c r="AO17" i="6"/>
  <c r="AV17" i="6"/>
  <c r="AU18" i="6"/>
  <c r="AW18" i="6" s="1"/>
  <c r="AM18" i="6"/>
  <c r="AU22" i="6"/>
  <c r="AW22" i="6" s="1"/>
  <c r="AM22" i="6"/>
  <c r="AS24" i="6"/>
  <c r="AO24" i="6"/>
  <c r="AQ24" i="6"/>
  <c r="AW24" i="6"/>
  <c r="AQ26" i="6"/>
  <c r="AS26" i="6"/>
  <c r="AO26" i="6"/>
  <c r="AL14" i="6"/>
  <c r="AO14" i="6"/>
  <c r="AS14" i="6"/>
  <c r="AG15" i="6"/>
  <c r="AI15" i="6" s="1"/>
  <c r="AU16" i="6"/>
  <c r="AW16" i="6" s="1"/>
  <c r="Y17" i="6"/>
  <c r="AL17" i="6"/>
  <c r="AG18" i="6"/>
  <c r="AI18" i="6" s="1"/>
  <c r="AQ18" i="6"/>
  <c r="Y19" i="6"/>
  <c r="AL19" i="6"/>
  <c r="AO19" i="6"/>
  <c r="AS19" i="6"/>
  <c r="AG20" i="6"/>
  <c r="AI20" i="6" s="1"/>
  <c r="AO20" i="6"/>
  <c r="AS20" i="6"/>
  <c r="AQ21" i="6"/>
  <c r="AG22" i="6"/>
  <c r="AI22" i="6" s="1"/>
  <c r="AQ22" i="6"/>
  <c r="AL23" i="6"/>
  <c r="AO23" i="6"/>
  <c r="AS23" i="6"/>
  <c r="AO27" i="6"/>
  <c r="AS27" i="6"/>
  <c r="AU27" i="6"/>
  <c r="AW27" i="6" s="1"/>
  <c r="Y15" i="6"/>
  <c r="Y28" i="6" s="1"/>
  <c r="Y29" i="6" s="1"/>
  <c r="Y18" i="6"/>
  <c r="AO18" i="6"/>
  <c r="AO21" i="6"/>
  <c r="Y22" i="6"/>
  <c r="AO22" i="6"/>
  <c r="AM19" i="6" l="1"/>
  <c r="AU19" i="6"/>
  <c r="AW19" i="6" s="1"/>
  <c r="AM17" i="6"/>
  <c r="AU17" i="6"/>
  <c r="AW17" i="6" s="1"/>
  <c r="AM14" i="6"/>
  <c r="AU14" i="6"/>
  <c r="AW14" i="6" s="1"/>
  <c r="AK28" i="6"/>
  <c r="AK29" i="6" s="1"/>
  <c r="AU21" i="6"/>
  <c r="AW21" i="6" s="1"/>
  <c r="AM21" i="6"/>
  <c r="AW15" i="6"/>
  <c r="AM23" i="6"/>
  <c r="AU23" i="6"/>
  <c r="AW23" i="6" s="1"/>
  <c r="AU12" i="6"/>
  <c r="AW12" i="6" s="1"/>
  <c r="AL28" i="6"/>
  <c r="AL29" i="6" s="1"/>
  <c r="AM12" i="6"/>
  <c r="AM28" i="6" s="1"/>
  <c r="AM29" i="6" s="1"/>
  <c r="K43" i="3" l="1"/>
  <c r="J43" i="3"/>
  <c r="I43" i="3"/>
  <c r="AL42" i="3"/>
  <c r="AL43" i="3" s="1"/>
  <c r="X42" i="3"/>
  <c r="X43" i="3" s="1"/>
  <c r="J42" i="3"/>
  <c r="AU41" i="3"/>
  <c r="AT41" i="3"/>
  <c r="AS41" i="3"/>
  <c r="AQ41" i="3"/>
  <c r="AO41" i="3"/>
  <c r="AM41" i="3"/>
  <c r="AG41" i="3"/>
  <c r="AF41" i="3"/>
  <c r="AH41" i="3" s="1"/>
  <c r="AE41" i="3"/>
  <c r="AC41" i="3"/>
  <c r="AA41" i="3"/>
  <c r="Y41" i="3"/>
  <c r="R41" i="3"/>
  <c r="Q41" i="3"/>
  <c r="O41" i="3"/>
  <c r="M41" i="3"/>
  <c r="T41" i="3" s="1"/>
  <c r="I41" i="3"/>
  <c r="S41" i="3" s="1"/>
  <c r="E41" i="3"/>
  <c r="D41" i="3"/>
  <c r="C41" i="3"/>
  <c r="AU40" i="3"/>
  <c r="AT40" i="3"/>
  <c r="AS40" i="3"/>
  <c r="AQ40" i="3"/>
  <c r="AO40" i="3"/>
  <c r="AM40" i="3"/>
  <c r="AG40" i="3"/>
  <c r="AF40" i="3"/>
  <c r="AH40" i="3" s="1"/>
  <c r="AE40" i="3"/>
  <c r="AC40" i="3"/>
  <c r="AA40" i="3"/>
  <c r="Y40" i="3"/>
  <c r="R40" i="3"/>
  <c r="Q40" i="3"/>
  <c r="O40" i="3"/>
  <c r="M40" i="3"/>
  <c r="T40" i="3" s="1"/>
  <c r="I40" i="3"/>
  <c r="S40" i="3" s="1"/>
  <c r="E40" i="3"/>
  <c r="D40" i="3"/>
  <c r="C40" i="3"/>
  <c r="AU39" i="3"/>
  <c r="AT39" i="3"/>
  <c r="AS39" i="3"/>
  <c r="AQ39" i="3"/>
  <c r="AO39" i="3"/>
  <c r="AM39" i="3"/>
  <c r="AG39" i="3"/>
  <c r="AF39" i="3"/>
  <c r="AH39" i="3" s="1"/>
  <c r="AE39" i="3"/>
  <c r="AC39" i="3"/>
  <c r="AA39" i="3"/>
  <c r="Y39" i="3"/>
  <c r="R39" i="3"/>
  <c r="Q39" i="3"/>
  <c r="O39" i="3"/>
  <c r="M39" i="3"/>
  <c r="T39" i="3" s="1"/>
  <c r="I39" i="3"/>
  <c r="K39" i="3" s="1"/>
  <c r="E39" i="3"/>
  <c r="D39" i="3"/>
  <c r="C39" i="3"/>
  <c r="AU38" i="3"/>
  <c r="AT38" i="3"/>
  <c r="AS38" i="3"/>
  <c r="AQ38" i="3"/>
  <c r="AO38" i="3"/>
  <c r="AM38" i="3"/>
  <c r="AG38" i="3"/>
  <c r="AF38" i="3"/>
  <c r="AH38" i="3" s="1"/>
  <c r="AE38" i="3"/>
  <c r="AC38" i="3"/>
  <c r="AA38" i="3"/>
  <c r="Y38" i="3"/>
  <c r="R38" i="3"/>
  <c r="Q38" i="3"/>
  <c r="O38" i="3"/>
  <c r="M38" i="3"/>
  <c r="T38" i="3" s="1"/>
  <c r="I38" i="3"/>
  <c r="K38" i="3" s="1"/>
  <c r="E38" i="3"/>
  <c r="D38" i="3"/>
  <c r="C38" i="3"/>
  <c r="AU37" i="3"/>
  <c r="AT37" i="3"/>
  <c r="AS37" i="3"/>
  <c r="AQ37" i="3"/>
  <c r="AO37" i="3"/>
  <c r="AM37" i="3"/>
  <c r="AG37" i="3"/>
  <c r="AF37" i="3"/>
  <c r="AH37" i="3" s="1"/>
  <c r="AE37" i="3"/>
  <c r="AC37" i="3"/>
  <c r="AA37" i="3"/>
  <c r="Y37" i="3"/>
  <c r="R37" i="3"/>
  <c r="Q37" i="3"/>
  <c r="O37" i="3"/>
  <c r="M37" i="3"/>
  <c r="T37" i="3" s="1"/>
  <c r="I37" i="3"/>
  <c r="K37" i="3" s="1"/>
  <c r="E37" i="3"/>
  <c r="D37" i="3"/>
  <c r="C37" i="3"/>
  <c r="AU36" i="3"/>
  <c r="AT36" i="3"/>
  <c r="AS36" i="3"/>
  <c r="AQ36" i="3"/>
  <c r="AO36" i="3"/>
  <c r="AM36" i="3"/>
  <c r="AG36" i="3"/>
  <c r="AF36" i="3"/>
  <c r="AH36" i="3" s="1"/>
  <c r="AE36" i="3"/>
  <c r="AC36" i="3"/>
  <c r="AA36" i="3"/>
  <c r="Y36" i="3"/>
  <c r="R36" i="3"/>
  <c r="Q36" i="3"/>
  <c r="O36" i="3"/>
  <c r="M36" i="3"/>
  <c r="I36" i="3"/>
  <c r="K36" i="3" s="1"/>
  <c r="E36" i="3"/>
  <c r="D36" i="3"/>
  <c r="C36" i="3"/>
  <c r="AU35" i="3"/>
  <c r="AT35" i="3"/>
  <c r="AS35" i="3"/>
  <c r="AQ35" i="3"/>
  <c r="AO35" i="3"/>
  <c r="AM35" i="3"/>
  <c r="AG35" i="3"/>
  <c r="AF35" i="3"/>
  <c r="AH35" i="3" s="1"/>
  <c r="AE35" i="3"/>
  <c r="AC35" i="3"/>
  <c r="AA35" i="3"/>
  <c r="Y35" i="3"/>
  <c r="R35" i="3"/>
  <c r="Q35" i="3"/>
  <c r="O35" i="3"/>
  <c r="M35" i="3"/>
  <c r="I35" i="3"/>
  <c r="K35" i="3" s="1"/>
  <c r="E35" i="3"/>
  <c r="D35" i="3"/>
  <c r="C35" i="3"/>
  <c r="AU34" i="3"/>
  <c r="AT34" i="3"/>
  <c r="AS34" i="3"/>
  <c r="AQ34" i="3"/>
  <c r="AO34" i="3"/>
  <c r="AM34" i="3"/>
  <c r="AG34" i="3"/>
  <c r="AF34" i="3"/>
  <c r="AH34" i="3" s="1"/>
  <c r="AE34" i="3"/>
  <c r="AC34" i="3"/>
  <c r="AA34" i="3"/>
  <c r="Y34" i="3"/>
  <c r="R34" i="3"/>
  <c r="Q34" i="3"/>
  <c r="O34" i="3"/>
  <c r="M34" i="3"/>
  <c r="I34" i="3"/>
  <c r="K34" i="3" s="1"/>
  <c r="E34" i="3"/>
  <c r="D34" i="3"/>
  <c r="C34" i="3"/>
  <c r="AT33" i="3"/>
  <c r="AS33" i="3"/>
  <c r="AQ33" i="3"/>
  <c r="AO33" i="3"/>
  <c r="AF33" i="3"/>
  <c r="AH33" i="3" s="1"/>
  <c r="AE33" i="3"/>
  <c r="AC33" i="3"/>
  <c r="AA33" i="3"/>
  <c r="R33" i="3"/>
  <c r="Q33" i="3"/>
  <c r="O33" i="3"/>
  <c r="M33" i="3"/>
  <c r="T33" i="3" s="1"/>
  <c r="I33" i="3"/>
  <c r="S33" i="3" s="1"/>
  <c r="E33" i="3"/>
  <c r="D33" i="3"/>
  <c r="C33" i="3"/>
  <c r="AU32" i="3"/>
  <c r="AT32" i="3"/>
  <c r="AS32" i="3"/>
  <c r="AQ32" i="3"/>
  <c r="AO32" i="3"/>
  <c r="AM32" i="3"/>
  <c r="AG32" i="3"/>
  <c r="AF32" i="3"/>
  <c r="AH32" i="3" s="1"/>
  <c r="AE32" i="3"/>
  <c r="AC32" i="3"/>
  <c r="AA32" i="3"/>
  <c r="Y32" i="3"/>
  <c r="R32" i="3"/>
  <c r="Q32" i="3"/>
  <c r="O32" i="3"/>
  <c r="M32" i="3"/>
  <c r="I32" i="3"/>
  <c r="S32" i="3" s="1"/>
  <c r="E32" i="3"/>
  <c r="D32" i="3"/>
  <c r="C32" i="3"/>
  <c r="AT31" i="3"/>
  <c r="AS31" i="3"/>
  <c r="AQ31" i="3"/>
  <c r="AO31" i="3"/>
  <c r="AF31" i="3"/>
  <c r="AH31" i="3" s="1"/>
  <c r="AE31" i="3"/>
  <c r="AC31" i="3"/>
  <c r="AA31" i="3"/>
  <c r="R31" i="3"/>
  <c r="Q31" i="3"/>
  <c r="O31" i="3"/>
  <c r="M31" i="3"/>
  <c r="T31" i="3" s="1"/>
  <c r="I31" i="3"/>
  <c r="K31" i="3" s="1"/>
  <c r="W31" i="3" s="1"/>
  <c r="E31" i="3"/>
  <c r="D31" i="3"/>
  <c r="C31" i="3"/>
  <c r="AT30" i="3"/>
  <c r="AS30" i="3"/>
  <c r="AQ30" i="3"/>
  <c r="AO30" i="3"/>
  <c r="AF30" i="3"/>
  <c r="AH30" i="3" s="1"/>
  <c r="AE30" i="3"/>
  <c r="AC30" i="3"/>
  <c r="AA30" i="3"/>
  <c r="R30" i="3"/>
  <c r="Q30" i="3"/>
  <c r="O30" i="3"/>
  <c r="M30" i="3"/>
  <c r="I30" i="3"/>
  <c r="S30" i="3" s="1"/>
  <c r="E30" i="3"/>
  <c r="D30" i="3"/>
  <c r="C30" i="3"/>
  <c r="AT29" i="3"/>
  <c r="AS29" i="3"/>
  <c r="AQ29" i="3"/>
  <c r="AO29" i="3"/>
  <c r="AF29" i="3"/>
  <c r="AH29" i="3" s="1"/>
  <c r="AE29" i="3"/>
  <c r="AC29" i="3"/>
  <c r="AA29" i="3"/>
  <c r="R29" i="3"/>
  <c r="Q29" i="3"/>
  <c r="O29" i="3"/>
  <c r="M29" i="3"/>
  <c r="I29" i="3"/>
  <c r="K29" i="3" s="1"/>
  <c r="W29" i="3" s="1"/>
  <c r="E29" i="3"/>
  <c r="D29" i="3"/>
  <c r="C29" i="3"/>
  <c r="AU28" i="3"/>
  <c r="AT28" i="3"/>
  <c r="AS28" i="3"/>
  <c r="AQ28" i="3"/>
  <c r="AO28" i="3"/>
  <c r="AM28" i="3"/>
  <c r="AG28" i="3"/>
  <c r="AF28" i="3"/>
  <c r="AH28" i="3" s="1"/>
  <c r="AE28" i="3"/>
  <c r="AC28" i="3"/>
  <c r="AA28" i="3"/>
  <c r="Y28" i="3"/>
  <c r="R28" i="3"/>
  <c r="Q28" i="3"/>
  <c r="O28" i="3"/>
  <c r="M28" i="3"/>
  <c r="I28" i="3"/>
  <c r="K28" i="3" s="1"/>
  <c r="E28" i="3"/>
  <c r="D28" i="3"/>
  <c r="C28" i="3"/>
  <c r="AT27" i="3"/>
  <c r="AS27" i="3"/>
  <c r="AQ27" i="3"/>
  <c r="AO27" i="3"/>
  <c r="AF27" i="3"/>
  <c r="AH27" i="3" s="1"/>
  <c r="AE27" i="3"/>
  <c r="AC27" i="3"/>
  <c r="AA27" i="3"/>
  <c r="R27" i="3"/>
  <c r="Q27" i="3"/>
  <c r="O27" i="3"/>
  <c r="T27" i="3" s="1"/>
  <c r="M27" i="3"/>
  <c r="K27" i="3"/>
  <c r="W27" i="3" s="1"/>
  <c r="I27" i="3"/>
  <c r="S27" i="3" s="1"/>
  <c r="E27" i="3"/>
  <c r="D27" i="3"/>
  <c r="C27" i="3"/>
  <c r="AU26" i="3"/>
  <c r="AT26" i="3"/>
  <c r="AS26" i="3"/>
  <c r="AQ26" i="3"/>
  <c r="AO26" i="3"/>
  <c r="AM26" i="3"/>
  <c r="AG26" i="3"/>
  <c r="AF26" i="3"/>
  <c r="AH26" i="3" s="1"/>
  <c r="AE26" i="3"/>
  <c r="AC26" i="3"/>
  <c r="AA26" i="3"/>
  <c r="Y26" i="3"/>
  <c r="R26" i="3"/>
  <c r="Q26" i="3"/>
  <c r="O26" i="3"/>
  <c r="M26" i="3"/>
  <c r="I26" i="3"/>
  <c r="S26" i="3" s="1"/>
  <c r="E26" i="3"/>
  <c r="D26" i="3"/>
  <c r="C26" i="3"/>
  <c r="AU25" i="3"/>
  <c r="AT25" i="3"/>
  <c r="AS25" i="3"/>
  <c r="AQ25" i="3"/>
  <c r="AO25" i="3"/>
  <c r="AM25" i="3"/>
  <c r="AG25" i="3"/>
  <c r="AF25" i="3"/>
  <c r="AH25" i="3" s="1"/>
  <c r="AE25" i="3"/>
  <c r="AC25" i="3"/>
  <c r="AA25" i="3"/>
  <c r="Y25" i="3"/>
  <c r="R25" i="3"/>
  <c r="Q25" i="3"/>
  <c r="O25" i="3"/>
  <c r="T25" i="3" s="1"/>
  <c r="M25" i="3"/>
  <c r="K25" i="3"/>
  <c r="I25" i="3"/>
  <c r="S25" i="3" s="1"/>
  <c r="E25" i="3"/>
  <c r="D25" i="3"/>
  <c r="C25" i="3"/>
  <c r="AU24" i="3"/>
  <c r="AT24" i="3"/>
  <c r="AS24" i="3"/>
  <c r="AQ24" i="3"/>
  <c r="AO24" i="3"/>
  <c r="AM24" i="3"/>
  <c r="AG24" i="3"/>
  <c r="AF24" i="3"/>
  <c r="AH24" i="3" s="1"/>
  <c r="AE24" i="3"/>
  <c r="AC24" i="3"/>
  <c r="AA24" i="3"/>
  <c r="Y24" i="3"/>
  <c r="R24" i="3"/>
  <c r="Q24" i="3"/>
  <c r="O24" i="3"/>
  <c r="M24" i="3"/>
  <c r="I24" i="3"/>
  <c r="S24" i="3" s="1"/>
  <c r="E24" i="3"/>
  <c r="D24" i="3"/>
  <c r="C24" i="3"/>
  <c r="AU23" i="3"/>
  <c r="AT23" i="3"/>
  <c r="AS23" i="3"/>
  <c r="AQ23" i="3"/>
  <c r="AO23" i="3"/>
  <c r="AM23" i="3"/>
  <c r="AG23" i="3"/>
  <c r="AF23" i="3"/>
  <c r="AH23" i="3" s="1"/>
  <c r="AE23" i="3"/>
  <c r="AC23" i="3"/>
  <c r="AA23" i="3"/>
  <c r="Y23" i="3"/>
  <c r="R23" i="3"/>
  <c r="Q23" i="3"/>
  <c r="O23" i="3"/>
  <c r="T23" i="3" s="1"/>
  <c r="M23" i="3"/>
  <c r="K23" i="3"/>
  <c r="I23" i="3"/>
  <c r="S23" i="3" s="1"/>
  <c r="E23" i="3"/>
  <c r="D23" i="3"/>
  <c r="C23" i="3"/>
  <c r="AU22" i="3"/>
  <c r="AT22" i="3"/>
  <c r="AS22" i="3"/>
  <c r="AQ22" i="3"/>
  <c r="AO22" i="3"/>
  <c r="AM22" i="3"/>
  <c r="AG22" i="3"/>
  <c r="AF22" i="3"/>
  <c r="AH22" i="3" s="1"/>
  <c r="AE22" i="3"/>
  <c r="AC22" i="3"/>
  <c r="AA22" i="3"/>
  <c r="Y22" i="3"/>
  <c r="R22" i="3"/>
  <c r="Q22" i="3"/>
  <c r="O22" i="3"/>
  <c r="M22" i="3"/>
  <c r="I22" i="3"/>
  <c r="S22" i="3" s="1"/>
  <c r="E22" i="3"/>
  <c r="D22" i="3"/>
  <c r="C22" i="3"/>
  <c r="AU21" i="3"/>
  <c r="AT21" i="3"/>
  <c r="AS21" i="3"/>
  <c r="AQ21" i="3"/>
  <c r="AO21" i="3"/>
  <c r="AM21" i="3"/>
  <c r="AG21" i="3"/>
  <c r="AF21" i="3"/>
  <c r="AH21" i="3" s="1"/>
  <c r="AE21" i="3"/>
  <c r="AC21" i="3"/>
  <c r="AA21" i="3"/>
  <c r="Y21" i="3"/>
  <c r="R21" i="3"/>
  <c r="Q21" i="3"/>
  <c r="O21" i="3"/>
  <c r="T21" i="3" s="1"/>
  <c r="M21" i="3"/>
  <c r="K21" i="3"/>
  <c r="I21" i="3"/>
  <c r="S21" i="3" s="1"/>
  <c r="E21" i="3"/>
  <c r="D21" i="3"/>
  <c r="C21" i="3"/>
  <c r="AU20" i="3"/>
  <c r="AT20" i="3"/>
  <c r="AS20" i="3"/>
  <c r="AQ20" i="3"/>
  <c r="AO20" i="3"/>
  <c r="AM20" i="3"/>
  <c r="AG20" i="3"/>
  <c r="AF20" i="3"/>
  <c r="AH20" i="3" s="1"/>
  <c r="AE20" i="3"/>
  <c r="AC20" i="3"/>
  <c r="AA20" i="3"/>
  <c r="Y20" i="3"/>
  <c r="R20" i="3"/>
  <c r="Q20" i="3"/>
  <c r="O20" i="3"/>
  <c r="M20" i="3"/>
  <c r="T20" i="3" s="1"/>
  <c r="I20" i="3"/>
  <c r="S20" i="3" s="1"/>
  <c r="U20" i="3" s="1"/>
  <c r="E20" i="3"/>
  <c r="D20" i="3"/>
  <c r="C20" i="3"/>
  <c r="AU19" i="3"/>
  <c r="AT19" i="3"/>
  <c r="AS19" i="3"/>
  <c r="AQ19" i="3"/>
  <c r="AO19" i="3"/>
  <c r="AM19" i="3"/>
  <c r="AG19" i="3"/>
  <c r="AF19" i="3"/>
  <c r="AH19" i="3" s="1"/>
  <c r="AE19" i="3"/>
  <c r="AC19" i="3"/>
  <c r="AA19" i="3"/>
  <c r="Y19" i="3"/>
  <c r="R19" i="3"/>
  <c r="Q19" i="3"/>
  <c r="O19" i="3"/>
  <c r="M19" i="3"/>
  <c r="I19" i="3"/>
  <c r="S19" i="3" s="1"/>
  <c r="E19" i="3"/>
  <c r="D19" i="3"/>
  <c r="C19" i="3"/>
  <c r="AU18" i="3"/>
  <c r="AT18" i="3"/>
  <c r="AS18" i="3"/>
  <c r="AQ18" i="3"/>
  <c r="AO18" i="3"/>
  <c r="AM18" i="3"/>
  <c r="AG18" i="3"/>
  <c r="AI18" i="3" s="1"/>
  <c r="AF18" i="3"/>
  <c r="AH18" i="3" s="1"/>
  <c r="AE18" i="3"/>
  <c r="AC18" i="3"/>
  <c r="AA18" i="3"/>
  <c r="Y18" i="3"/>
  <c r="S18" i="3"/>
  <c r="R18" i="3"/>
  <c r="Q18" i="3"/>
  <c r="O18" i="3"/>
  <c r="M18" i="3"/>
  <c r="T18" i="3" s="1"/>
  <c r="I18" i="3"/>
  <c r="K18" i="3" s="1"/>
  <c r="E18" i="3"/>
  <c r="D18" i="3"/>
  <c r="C18" i="3"/>
  <c r="AU17" i="3"/>
  <c r="AT17" i="3"/>
  <c r="AS17" i="3"/>
  <c r="AQ17" i="3"/>
  <c r="AO17" i="3"/>
  <c r="AM17" i="3"/>
  <c r="AG17" i="3"/>
  <c r="AF17" i="3"/>
  <c r="AH17" i="3" s="1"/>
  <c r="AE17" i="3"/>
  <c r="AC17" i="3"/>
  <c r="AA17" i="3"/>
  <c r="Y17" i="3"/>
  <c r="R17" i="3"/>
  <c r="Q17" i="3"/>
  <c r="O17" i="3"/>
  <c r="M17" i="3"/>
  <c r="T17" i="3" s="1"/>
  <c r="I17" i="3"/>
  <c r="S17" i="3" s="1"/>
  <c r="E17" i="3"/>
  <c r="D17" i="3"/>
  <c r="C17" i="3"/>
  <c r="AU16" i="3"/>
  <c r="AT16" i="3"/>
  <c r="AS16" i="3"/>
  <c r="AQ16" i="3"/>
  <c r="AO16" i="3"/>
  <c r="AM16" i="3"/>
  <c r="AG16" i="3"/>
  <c r="AF16" i="3"/>
  <c r="AH16" i="3" s="1"/>
  <c r="AE16" i="3"/>
  <c r="AC16" i="3"/>
  <c r="AA16" i="3"/>
  <c r="Y16" i="3"/>
  <c r="R16" i="3"/>
  <c r="Q16" i="3"/>
  <c r="O16" i="3"/>
  <c r="M16" i="3"/>
  <c r="I16" i="3"/>
  <c r="S16" i="3" s="1"/>
  <c r="E16" i="3"/>
  <c r="D16" i="3"/>
  <c r="C16" i="3"/>
  <c r="AU15" i="3"/>
  <c r="AT15" i="3"/>
  <c r="AS15" i="3"/>
  <c r="AQ15" i="3"/>
  <c r="AO15" i="3"/>
  <c r="AM15" i="3"/>
  <c r="AG15" i="3"/>
  <c r="AI15" i="3" s="1"/>
  <c r="AF15" i="3"/>
  <c r="AH15" i="3" s="1"/>
  <c r="AE15" i="3"/>
  <c r="AC15" i="3"/>
  <c r="AA15" i="3"/>
  <c r="Y15" i="3"/>
  <c r="R15" i="3"/>
  <c r="Q15" i="3"/>
  <c r="O15" i="3"/>
  <c r="M15" i="3"/>
  <c r="I15" i="3"/>
  <c r="S15" i="3" s="1"/>
  <c r="E15" i="3"/>
  <c r="D15" i="3"/>
  <c r="C15" i="3"/>
  <c r="AU14" i="3"/>
  <c r="AT14" i="3"/>
  <c r="AS14" i="3"/>
  <c r="AQ14" i="3"/>
  <c r="AO14" i="3"/>
  <c r="AM14" i="3"/>
  <c r="AG14" i="3"/>
  <c r="AF14" i="3"/>
  <c r="AH14" i="3" s="1"/>
  <c r="AE14" i="3"/>
  <c r="AC14" i="3"/>
  <c r="AA14" i="3"/>
  <c r="Y14" i="3"/>
  <c r="R14" i="3"/>
  <c r="Q14" i="3"/>
  <c r="O14" i="3"/>
  <c r="M14" i="3"/>
  <c r="I14" i="3"/>
  <c r="S14" i="3" s="1"/>
  <c r="E14" i="3"/>
  <c r="D14" i="3"/>
  <c r="C14" i="3"/>
  <c r="AU13" i="3"/>
  <c r="AT13" i="3"/>
  <c r="AS13" i="3"/>
  <c r="AQ13" i="3"/>
  <c r="AO13" i="3"/>
  <c r="AM13" i="3"/>
  <c r="AG13" i="3"/>
  <c r="AI13" i="3" s="1"/>
  <c r="AF13" i="3"/>
  <c r="AH13" i="3" s="1"/>
  <c r="AE13" i="3"/>
  <c r="AC13" i="3"/>
  <c r="AA13" i="3"/>
  <c r="Y13" i="3"/>
  <c r="R13" i="3"/>
  <c r="Q13" i="3"/>
  <c r="O13" i="3"/>
  <c r="M13" i="3"/>
  <c r="I13" i="3"/>
  <c r="S13" i="3" s="1"/>
  <c r="E13" i="3"/>
  <c r="D13" i="3"/>
  <c r="C13" i="3"/>
  <c r="AU12" i="3"/>
  <c r="AT12" i="3"/>
  <c r="AS12" i="3"/>
  <c r="AQ12" i="3"/>
  <c r="AO12" i="3"/>
  <c r="AM12" i="3"/>
  <c r="AG12" i="3"/>
  <c r="AI12" i="3" s="1"/>
  <c r="AF12" i="3"/>
  <c r="AH12" i="3" s="1"/>
  <c r="AE12" i="3"/>
  <c r="AC12" i="3"/>
  <c r="AA12" i="3"/>
  <c r="Y12" i="3"/>
  <c r="R12" i="3"/>
  <c r="Q12" i="3"/>
  <c r="O12" i="3"/>
  <c r="T12" i="3" s="1"/>
  <c r="M12" i="3"/>
  <c r="K12" i="3"/>
  <c r="I12" i="3"/>
  <c r="S12" i="3" s="1"/>
  <c r="E12" i="3"/>
  <c r="D12" i="3"/>
  <c r="C12" i="3"/>
  <c r="AU11" i="3"/>
  <c r="AT11" i="3"/>
  <c r="AS11" i="3"/>
  <c r="AQ11" i="3"/>
  <c r="AO11" i="3"/>
  <c r="AM11" i="3"/>
  <c r="AG11" i="3"/>
  <c r="AF11" i="3"/>
  <c r="AH11" i="3" s="1"/>
  <c r="AE11" i="3"/>
  <c r="AC11" i="3"/>
  <c r="AA11" i="3"/>
  <c r="Y11" i="3"/>
  <c r="R11" i="3"/>
  <c r="Q11" i="3"/>
  <c r="O11" i="3"/>
  <c r="M11" i="3"/>
  <c r="I11" i="3"/>
  <c r="S11" i="3" s="1"/>
  <c r="E11" i="3"/>
  <c r="D11" i="3"/>
  <c r="C11" i="3"/>
  <c r="AU10" i="3"/>
  <c r="AT10" i="3"/>
  <c r="AS10" i="3"/>
  <c r="AQ10" i="3"/>
  <c r="AO10" i="3"/>
  <c r="AM10" i="3"/>
  <c r="AG10" i="3"/>
  <c r="AF10" i="3"/>
  <c r="AH10" i="3" s="1"/>
  <c r="AE10" i="3"/>
  <c r="AC10" i="3"/>
  <c r="AA10" i="3"/>
  <c r="Y10" i="3"/>
  <c r="R10" i="3"/>
  <c r="Q10" i="3"/>
  <c r="O10" i="3"/>
  <c r="T10" i="3" s="1"/>
  <c r="M10" i="3"/>
  <c r="K10" i="3"/>
  <c r="I10" i="3"/>
  <c r="S10" i="3" s="1"/>
  <c r="E10" i="3"/>
  <c r="D10" i="3"/>
  <c r="C10" i="3"/>
  <c r="AU9" i="3"/>
  <c r="AT9" i="3"/>
  <c r="AS9" i="3"/>
  <c r="AQ9" i="3"/>
  <c r="AO9" i="3"/>
  <c r="AM9" i="3"/>
  <c r="AG9" i="3"/>
  <c r="AF9" i="3"/>
  <c r="AH9" i="3" s="1"/>
  <c r="AE9" i="3"/>
  <c r="AC9" i="3"/>
  <c r="AA9" i="3"/>
  <c r="Y9" i="3"/>
  <c r="R9" i="3"/>
  <c r="Q9" i="3"/>
  <c r="O9" i="3"/>
  <c r="M9" i="3"/>
  <c r="I9" i="3"/>
  <c r="S9" i="3" s="1"/>
  <c r="E9" i="3"/>
  <c r="D9" i="3"/>
  <c r="C9" i="3"/>
  <c r="AU8" i="3"/>
  <c r="AT8" i="3"/>
  <c r="AS8" i="3"/>
  <c r="AQ8" i="3"/>
  <c r="AO8" i="3"/>
  <c r="AM8" i="3"/>
  <c r="AG8" i="3"/>
  <c r="AF8" i="3"/>
  <c r="AH8" i="3" s="1"/>
  <c r="AE8" i="3"/>
  <c r="AC8" i="3"/>
  <c r="AA8" i="3"/>
  <c r="Y8" i="3"/>
  <c r="R8" i="3"/>
  <c r="Q8" i="3"/>
  <c r="O8" i="3"/>
  <c r="T8" i="3" s="1"/>
  <c r="M8" i="3"/>
  <c r="K8" i="3"/>
  <c r="I8" i="3"/>
  <c r="S8" i="3" s="1"/>
  <c r="E8" i="3"/>
  <c r="D8" i="3"/>
  <c r="C8" i="3"/>
  <c r="AU7" i="3"/>
  <c r="AT7" i="3"/>
  <c r="AS7" i="3"/>
  <c r="AQ7" i="3"/>
  <c r="AO7" i="3"/>
  <c r="AM7" i="3"/>
  <c r="AG7" i="3"/>
  <c r="AF7" i="3"/>
  <c r="AH7" i="3" s="1"/>
  <c r="AE7" i="3"/>
  <c r="AC7" i="3"/>
  <c r="AA7" i="3"/>
  <c r="Y7" i="3"/>
  <c r="R7" i="3"/>
  <c r="Q7" i="3"/>
  <c r="O7" i="3"/>
  <c r="M7" i="3"/>
  <c r="I7" i="3"/>
  <c r="S7" i="3" s="1"/>
  <c r="E7" i="3"/>
  <c r="D7" i="3"/>
  <c r="C7" i="3"/>
  <c r="AU6" i="3"/>
  <c r="AT6" i="3"/>
  <c r="AS6" i="3"/>
  <c r="AQ6" i="3"/>
  <c r="AO6" i="3"/>
  <c r="AM6" i="3"/>
  <c r="AG6" i="3"/>
  <c r="AF6" i="3"/>
  <c r="AH6" i="3" s="1"/>
  <c r="AE6" i="3"/>
  <c r="AC6" i="3"/>
  <c r="AA6" i="3"/>
  <c r="Y6" i="3"/>
  <c r="R6" i="3"/>
  <c r="Q6" i="3"/>
  <c r="O6" i="3"/>
  <c r="T6" i="3" s="1"/>
  <c r="M6" i="3"/>
  <c r="K6" i="3"/>
  <c r="I6" i="3"/>
  <c r="S6" i="3" s="1"/>
  <c r="E6" i="3"/>
  <c r="D6" i="3"/>
  <c r="C6" i="3"/>
  <c r="AU5" i="3"/>
  <c r="AT5" i="3"/>
  <c r="AS5" i="3"/>
  <c r="AQ5" i="3"/>
  <c r="AO5" i="3"/>
  <c r="AM5" i="3"/>
  <c r="AG5" i="3"/>
  <c r="AF5" i="3"/>
  <c r="AH5" i="3" s="1"/>
  <c r="AE5" i="3"/>
  <c r="AC5" i="3"/>
  <c r="AA5" i="3"/>
  <c r="Y5" i="3"/>
  <c r="R5" i="3"/>
  <c r="Q5" i="3"/>
  <c r="O5" i="3"/>
  <c r="M5" i="3"/>
  <c r="I5" i="3"/>
  <c r="I42" i="3" s="1"/>
  <c r="E5" i="3"/>
  <c r="D5" i="3"/>
  <c r="C5" i="3"/>
  <c r="AM37" i="4"/>
  <c r="AL37" i="4"/>
  <c r="AK37" i="4"/>
  <c r="Y37" i="4"/>
  <c r="X37" i="4"/>
  <c r="W37" i="4"/>
  <c r="AL36" i="4"/>
  <c r="AK36" i="4"/>
  <c r="AH36" i="4"/>
  <c r="W36" i="4"/>
  <c r="AU35" i="4"/>
  <c r="AW35" i="4" s="1"/>
  <c r="AT35" i="4"/>
  <c r="AV35" i="4" s="1"/>
  <c r="AS35" i="4"/>
  <c r="AQ35" i="4"/>
  <c r="AO35" i="4"/>
  <c r="AM35" i="4"/>
  <c r="AG35" i="4"/>
  <c r="AF35" i="4"/>
  <c r="AH35" i="4" s="1"/>
  <c r="AI35" i="4" s="1"/>
  <c r="AE35" i="4"/>
  <c r="AC35" i="4"/>
  <c r="AA35" i="4"/>
  <c r="Y35" i="4"/>
  <c r="S35" i="4"/>
  <c r="U35" i="4" s="1"/>
  <c r="R35" i="4"/>
  <c r="T35" i="4" s="1"/>
  <c r="Q35" i="4"/>
  <c r="O35" i="4"/>
  <c r="M35" i="4"/>
  <c r="K35" i="4"/>
  <c r="E35" i="4"/>
  <c r="D35" i="4"/>
  <c r="C35" i="4"/>
  <c r="AU34" i="4"/>
  <c r="AT34" i="4"/>
  <c r="AV34" i="4" s="1"/>
  <c r="AS34" i="4"/>
  <c r="AQ34" i="4"/>
  <c r="AO34" i="4"/>
  <c r="AM34" i="4"/>
  <c r="AG34" i="4"/>
  <c r="AF34" i="4"/>
  <c r="AH34" i="4" s="1"/>
  <c r="AE34" i="4"/>
  <c r="AC34" i="4"/>
  <c r="AA34" i="4"/>
  <c r="Y34" i="4"/>
  <c r="S34" i="4"/>
  <c r="R34" i="4"/>
  <c r="T34" i="4" s="1"/>
  <c r="Q34" i="4"/>
  <c r="O34" i="4"/>
  <c r="M34" i="4"/>
  <c r="K34" i="4"/>
  <c r="E34" i="4"/>
  <c r="D34" i="4"/>
  <c r="C34" i="4"/>
  <c r="AU33" i="4"/>
  <c r="AW33" i="4" s="1"/>
  <c r="AT33" i="4"/>
  <c r="AV33" i="4" s="1"/>
  <c r="AS33" i="4"/>
  <c r="AQ33" i="4"/>
  <c r="AO33" i="4"/>
  <c r="AM33" i="4"/>
  <c r="AG33" i="4"/>
  <c r="AF33" i="4"/>
  <c r="AH33" i="4" s="1"/>
  <c r="AI33" i="4" s="1"/>
  <c r="AE33" i="4"/>
  <c r="AC33" i="4"/>
  <c r="AA33" i="4"/>
  <c r="Y33" i="4"/>
  <c r="S33" i="4"/>
  <c r="U33" i="4" s="1"/>
  <c r="R33" i="4"/>
  <c r="T33" i="4" s="1"/>
  <c r="Q33" i="4"/>
  <c r="O33" i="4"/>
  <c r="M33" i="4"/>
  <c r="K33" i="4"/>
  <c r="E33" i="4"/>
  <c r="D33" i="4"/>
  <c r="C33" i="4"/>
  <c r="AU32" i="4"/>
  <c r="AT32" i="4"/>
  <c r="AV32" i="4" s="1"/>
  <c r="AS32" i="4"/>
  <c r="AQ32" i="4"/>
  <c r="AO32" i="4"/>
  <c r="AM32" i="4"/>
  <c r="AG32" i="4"/>
  <c r="AF32" i="4"/>
  <c r="AH32" i="4" s="1"/>
  <c r="AE32" i="4"/>
  <c r="AC32" i="4"/>
  <c r="AA32" i="4"/>
  <c r="Y32" i="4"/>
  <c r="S32" i="4"/>
  <c r="R32" i="4"/>
  <c r="T32" i="4" s="1"/>
  <c r="Q32" i="4"/>
  <c r="O32" i="4"/>
  <c r="M32" i="4"/>
  <c r="K32" i="4"/>
  <c r="E32" i="4"/>
  <c r="D32" i="4"/>
  <c r="C32" i="4"/>
  <c r="AU31" i="4"/>
  <c r="AW31" i="4" s="1"/>
  <c r="AT31" i="4"/>
  <c r="AV31" i="4" s="1"/>
  <c r="AS31" i="4"/>
  <c r="AQ31" i="4"/>
  <c r="AO31" i="4"/>
  <c r="AM31" i="4"/>
  <c r="AG31" i="4"/>
  <c r="AF31" i="4"/>
  <c r="AH31" i="4" s="1"/>
  <c r="AI31" i="4" s="1"/>
  <c r="AE31" i="4"/>
  <c r="AC31" i="4"/>
  <c r="AA31" i="4"/>
  <c r="Y31" i="4"/>
  <c r="S31" i="4"/>
  <c r="U31" i="4" s="1"/>
  <c r="R31" i="4"/>
  <c r="T31" i="4" s="1"/>
  <c r="Q31" i="4"/>
  <c r="O31" i="4"/>
  <c r="M31" i="4"/>
  <c r="K31" i="4"/>
  <c r="AU30" i="4"/>
  <c r="AT30" i="4"/>
  <c r="AV30" i="4" s="1"/>
  <c r="AW30" i="4" s="1"/>
  <c r="AS30" i="4"/>
  <c r="AQ30" i="4"/>
  <c r="AO30" i="4"/>
  <c r="AM30" i="4"/>
  <c r="AG30" i="4"/>
  <c r="AI30" i="4" s="1"/>
  <c r="AF30" i="4"/>
  <c r="AH30" i="4" s="1"/>
  <c r="AE30" i="4"/>
  <c r="AC30" i="4"/>
  <c r="AA30" i="4"/>
  <c r="Y30" i="4"/>
  <c r="S30" i="4"/>
  <c r="R30" i="4"/>
  <c r="T30" i="4" s="1"/>
  <c r="U30" i="4" s="1"/>
  <c r="Q30" i="4"/>
  <c r="O30" i="4"/>
  <c r="M30" i="4"/>
  <c r="K30" i="4"/>
  <c r="E30" i="4"/>
  <c r="D30" i="4"/>
  <c r="C30" i="4"/>
  <c r="AU29" i="4"/>
  <c r="AT29" i="4"/>
  <c r="AV29" i="4" s="1"/>
  <c r="AS29" i="4"/>
  <c r="AQ29" i="4"/>
  <c r="AO29" i="4"/>
  <c r="AM29" i="4"/>
  <c r="AG29" i="4"/>
  <c r="AF29" i="4"/>
  <c r="AH29" i="4" s="1"/>
  <c r="AE29" i="4"/>
  <c r="AC29" i="4"/>
  <c r="AA29" i="4"/>
  <c r="Y29" i="4"/>
  <c r="S29" i="4"/>
  <c r="R29" i="4"/>
  <c r="T29" i="4" s="1"/>
  <c r="Q29" i="4"/>
  <c r="O29" i="4"/>
  <c r="M29" i="4"/>
  <c r="K29" i="4"/>
  <c r="E29" i="4"/>
  <c r="D29" i="4"/>
  <c r="C29" i="4"/>
  <c r="AU28" i="4"/>
  <c r="AT28" i="4"/>
  <c r="AV28" i="4" s="1"/>
  <c r="AW28" i="4" s="1"/>
  <c r="AS28" i="4"/>
  <c r="AQ28" i="4"/>
  <c r="AO28" i="4"/>
  <c r="AM28" i="4"/>
  <c r="AG28" i="4"/>
  <c r="AI28" i="4" s="1"/>
  <c r="AF28" i="4"/>
  <c r="AH28" i="4" s="1"/>
  <c r="AE28" i="4"/>
  <c r="AC28" i="4"/>
  <c r="AA28" i="4"/>
  <c r="X28" i="4"/>
  <c r="Y28" i="4" s="1"/>
  <c r="T28" i="4"/>
  <c r="R28" i="4"/>
  <c r="Q28" i="4"/>
  <c r="O28" i="4"/>
  <c r="M28" i="4"/>
  <c r="K28" i="4"/>
  <c r="J28" i="4"/>
  <c r="S28" i="4" s="1"/>
  <c r="U28" i="4" s="1"/>
  <c r="E28" i="4"/>
  <c r="D28" i="4"/>
  <c r="C28" i="4"/>
  <c r="AU27" i="4"/>
  <c r="AT27" i="4"/>
  <c r="AV27" i="4" s="1"/>
  <c r="AS27" i="4"/>
  <c r="AQ27" i="4"/>
  <c r="AO27" i="4"/>
  <c r="AM27" i="4"/>
  <c r="AF27" i="4"/>
  <c r="AH27" i="4" s="1"/>
  <c r="AE27" i="4"/>
  <c r="AC27" i="4"/>
  <c r="AA27" i="4"/>
  <c r="Y27" i="4"/>
  <c r="X27" i="4"/>
  <c r="AG27" i="4" s="1"/>
  <c r="R27" i="4"/>
  <c r="T27" i="4" s="1"/>
  <c r="Q27" i="4"/>
  <c r="O27" i="4"/>
  <c r="M27" i="4"/>
  <c r="J27" i="4"/>
  <c r="K27" i="4" s="1"/>
  <c r="E27" i="4"/>
  <c r="D27" i="4"/>
  <c r="C27" i="4"/>
  <c r="AU26" i="4"/>
  <c r="AT26" i="4"/>
  <c r="AV26" i="4" s="1"/>
  <c r="AW26" i="4" s="1"/>
  <c r="AS26" i="4"/>
  <c r="AQ26" i="4"/>
  <c r="AO26" i="4"/>
  <c r="AM26" i="4"/>
  <c r="AG26" i="4"/>
  <c r="AI26" i="4" s="1"/>
  <c r="AF26" i="4"/>
  <c r="AH26" i="4" s="1"/>
  <c r="AE26" i="4"/>
  <c r="AC26" i="4"/>
  <c r="AA26" i="4"/>
  <c r="X26" i="4"/>
  <c r="T26" i="4"/>
  <c r="R26" i="4"/>
  <c r="Q26" i="4"/>
  <c r="O26" i="4"/>
  <c r="M26" i="4"/>
  <c r="K26" i="4"/>
  <c r="J26" i="4"/>
  <c r="S26" i="4" s="1"/>
  <c r="U26" i="4" s="1"/>
  <c r="E26" i="4"/>
  <c r="D26" i="4"/>
  <c r="C26" i="4"/>
  <c r="AU25" i="4"/>
  <c r="AT25" i="4"/>
  <c r="AV25" i="4" s="1"/>
  <c r="AS25" i="4"/>
  <c r="AQ25" i="4"/>
  <c r="AO25" i="4"/>
  <c r="AM25" i="4"/>
  <c r="AG25" i="4"/>
  <c r="AF25" i="4"/>
  <c r="AH25" i="4" s="1"/>
  <c r="AE25" i="4"/>
  <c r="AC25" i="4"/>
  <c r="AA25" i="4"/>
  <c r="Y25" i="4"/>
  <c r="S25" i="4"/>
  <c r="R25" i="4"/>
  <c r="T25" i="4" s="1"/>
  <c r="Q25" i="4"/>
  <c r="O25" i="4"/>
  <c r="M25" i="4"/>
  <c r="K25" i="4"/>
  <c r="E25" i="4"/>
  <c r="D25" i="4"/>
  <c r="C25" i="4"/>
  <c r="AU24" i="4"/>
  <c r="AT24" i="4"/>
  <c r="AV24" i="4" s="1"/>
  <c r="AW24" i="4" s="1"/>
  <c r="AS24" i="4"/>
  <c r="AQ24" i="4"/>
  <c r="AO24" i="4"/>
  <c r="AM24" i="4"/>
  <c r="AG24" i="4"/>
  <c r="AI24" i="4" s="1"/>
  <c r="AF24" i="4"/>
  <c r="AH24" i="4" s="1"/>
  <c r="AE24" i="4"/>
  <c r="AC24" i="4"/>
  <c r="AA24" i="4"/>
  <c r="Y24" i="4"/>
  <c r="S24" i="4"/>
  <c r="R24" i="4"/>
  <c r="T24" i="4" s="1"/>
  <c r="U24" i="4" s="1"/>
  <c r="Q24" i="4"/>
  <c r="O24" i="4"/>
  <c r="M24" i="4"/>
  <c r="K24" i="4"/>
  <c r="E24" i="4"/>
  <c r="D24" i="4"/>
  <c r="C24" i="4"/>
  <c r="AU23" i="4"/>
  <c r="AT23" i="4"/>
  <c r="AV23" i="4" s="1"/>
  <c r="AS23" i="4"/>
  <c r="AQ23" i="4"/>
  <c r="AO23" i="4"/>
  <c r="AM23" i="4"/>
  <c r="AG23" i="4"/>
  <c r="AF23" i="4"/>
  <c r="AH23" i="4" s="1"/>
  <c r="AE23" i="4"/>
  <c r="AC23" i="4"/>
  <c r="AA23" i="4"/>
  <c r="Y23" i="4"/>
  <c r="S23" i="4"/>
  <c r="R23" i="4"/>
  <c r="T23" i="4" s="1"/>
  <c r="Q23" i="4"/>
  <c r="O23" i="4"/>
  <c r="M23" i="4"/>
  <c r="K23" i="4"/>
  <c r="E23" i="4"/>
  <c r="D23" i="4"/>
  <c r="C23" i="4"/>
  <c r="AU22" i="4"/>
  <c r="AT22" i="4"/>
  <c r="AV22" i="4" s="1"/>
  <c r="AW22" i="4" s="1"/>
  <c r="AS22" i="4"/>
  <c r="AQ22" i="4"/>
  <c r="AO22" i="4"/>
  <c r="AM22" i="4"/>
  <c r="AG22" i="4"/>
  <c r="AI22" i="4" s="1"/>
  <c r="AF22" i="4"/>
  <c r="AH22" i="4" s="1"/>
  <c r="AE22" i="4"/>
  <c r="AC22" i="4"/>
  <c r="AA22" i="4"/>
  <c r="Y22" i="4"/>
  <c r="S22" i="4"/>
  <c r="R22" i="4"/>
  <c r="T22" i="4" s="1"/>
  <c r="U22" i="4" s="1"/>
  <c r="Q22" i="4"/>
  <c r="O22" i="4"/>
  <c r="M22" i="4"/>
  <c r="K22" i="4"/>
  <c r="E22" i="4"/>
  <c r="D22" i="4"/>
  <c r="C22" i="4"/>
  <c r="AU21" i="4"/>
  <c r="AT21" i="4"/>
  <c r="AV21" i="4" s="1"/>
  <c r="AS21" i="4"/>
  <c r="AQ21" i="4"/>
  <c r="AO21" i="4"/>
  <c r="AG21" i="4"/>
  <c r="AF21" i="4"/>
  <c r="AH21" i="4" s="1"/>
  <c r="AI21" i="4" s="1"/>
  <c r="AE21" i="4"/>
  <c r="AC21" i="4"/>
  <c r="AA21" i="4"/>
  <c r="T21" i="4"/>
  <c r="I21" i="4"/>
  <c r="E21" i="4"/>
  <c r="D21" i="4"/>
  <c r="C21" i="4"/>
  <c r="AU20" i="4"/>
  <c r="AW20" i="4" s="1"/>
  <c r="AT20" i="4"/>
  <c r="AV20" i="4" s="1"/>
  <c r="AS20" i="4"/>
  <c r="AQ20" i="4"/>
  <c r="AO20" i="4"/>
  <c r="AG20" i="4"/>
  <c r="AF20" i="4"/>
  <c r="AH20" i="4" s="1"/>
  <c r="AE20" i="4"/>
  <c r="AC20" i="4"/>
  <c r="AA20" i="4"/>
  <c r="T20" i="4"/>
  <c r="I20" i="4"/>
  <c r="E20" i="4"/>
  <c r="D20" i="4"/>
  <c r="C20" i="4"/>
  <c r="AU19" i="4"/>
  <c r="AT19" i="4"/>
  <c r="AV19" i="4" s="1"/>
  <c r="AS19" i="4"/>
  <c r="AQ19" i="4"/>
  <c r="AO19" i="4"/>
  <c r="AG19" i="4"/>
  <c r="AF19" i="4"/>
  <c r="AH19" i="4" s="1"/>
  <c r="AI19" i="4" s="1"/>
  <c r="AE19" i="4"/>
  <c r="AC19" i="4"/>
  <c r="AA19" i="4"/>
  <c r="T19" i="4"/>
  <c r="I19" i="4"/>
  <c r="E19" i="4"/>
  <c r="D19" i="4"/>
  <c r="C19" i="4"/>
  <c r="AU18" i="4"/>
  <c r="AW18" i="4" s="1"/>
  <c r="AT18" i="4"/>
  <c r="AV18" i="4" s="1"/>
  <c r="AS18" i="4"/>
  <c r="AQ18" i="4"/>
  <c r="AO18" i="4"/>
  <c r="AG18" i="4"/>
  <c r="AF18" i="4"/>
  <c r="AH18" i="4" s="1"/>
  <c r="AE18" i="4"/>
  <c r="AC18" i="4"/>
  <c r="AA18" i="4"/>
  <c r="T18" i="4"/>
  <c r="I18" i="4"/>
  <c r="E18" i="4"/>
  <c r="D18" i="4"/>
  <c r="C18" i="4"/>
  <c r="AU17" i="4"/>
  <c r="AT17" i="4"/>
  <c r="AV17" i="4" s="1"/>
  <c r="AS17" i="4"/>
  <c r="AQ17" i="4"/>
  <c r="AO17" i="4"/>
  <c r="AG17" i="4"/>
  <c r="AF17" i="4"/>
  <c r="AH17" i="4" s="1"/>
  <c r="AI17" i="4" s="1"/>
  <c r="AE17" i="4"/>
  <c r="AC17" i="4"/>
  <c r="AA17" i="4"/>
  <c r="T17" i="4"/>
  <c r="I17" i="4"/>
  <c r="E17" i="4"/>
  <c r="D17" i="4"/>
  <c r="C17" i="4"/>
  <c r="AU16" i="4"/>
  <c r="AW16" i="4" s="1"/>
  <c r="AT16" i="4"/>
  <c r="AV16" i="4" s="1"/>
  <c r="AS16" i="4"/>
  <c r="AQ16" i="4"/>
  <c r="AO16" i="4"/>
  <c r="AM16" i="4"/>
  <c r="AG16" i="4"/>
  <c r="AF16" i="4"/>
  <c r="AH16" i="4" s="1"/>
  <c r="AI16" i="4" s="1"/>
  <c r="AE16" i="4"/>
  <c r="AC16" i="4"/>
  <c r="AA16" i="4"/>
  <c r="Y16" i="4"/>
  <c r="S16" i="4"/>
  <c r="U16" i="4" s="1"/>
  <c r="R16" i="4"/>
  <c r="T16" i="4" s="1"/>
  <c r="Q16" i="4"/>
  <c r="O16" i="4"/>
  <c r="M16" i="4"/>
  <c r="K16" i="4"/>
  <c r="C16" i="4"/>
  <c r="AU15" i="4"/>
  <c r="AT15" i="4"/>
  <c r="AV15" i="4" s="1"/>
  <c r="AS15" i="4"/>
  <c r="AQ15" i="4"/>
  <c r="AO15" i="4"/>
  <c r="AM15" i="4"/>
  <c r="AG15" i="4"/>
  <c r="AF15" i="4"/>
  <c r="AH15" i="4" s="1"/>
  <c r="AE15" i="4"/>
  <c r="AC15" i="4"/>
  <c r="AA15" i="4"/>
  <c r="Y15" i="4"/>
  <c r="R15" i="4"/>
  <c r="T15" i="4" s="1"/>
  <c r="Q15" i="4"/>
  <c r="O15" i="4"/>
  <c r="M15" i="4"/>
  <c r="K15" i="4"/>
  <c r="I15" i="4"/>
  <c r="S15" i="4" s="1"/>
  <c r="E15" i="4"/>
  <c r="D15" i="4"/>
  <c r="C15" i="4"/>
  <c r="AU14" i="4"/>
  <c r="AT14" i="4"/>
  <c r="AV14" i="4" s="1"/>
  <c r="AS14" i="4"/>
  <c r="AQ14" i="4"/>
  <c r="AO14" i="4"/>
  <c r="AM14" i="4"/>
  <c r="AG14" i="4"/>
  <c r="AF14" i="4"/>
  <c r="AH14" i="4" s="1"/>
  <c r="AE14" i="4"/>
  <c r="AC14" i="4"/>
  <c r="AA14" i="4"/>
  <c r="Y14" i="4"/>
  <c r="R14" i="4"/>
  <c r="T14" i="4" s="1"/>
  <c r="Q14" i="4"/>
  <c r="O14" i="4"/>
  <c r="M14" i="4"/>
  <c r="K14" i="4"/>
  <c r="I14" i="4"/>
  <c r="I36" i="4" s="1"/>
  <c r="I37" i="4" s="1"/>
  <c r="E14" i="4"/>
  <c r="D14" i="4"/>
  <c r="C14" i="4"/>
  <c r="AU13" i="4"/>
  <c r="AT13" i="4"/>
  <c r="AV13" i="4" s="1"/>
  <c r="AS13" i="4"/>
  <c r="AQ13" i="4"/>
  <c r="AO13" i="4"/>
  <c r="AM13" i="4"/>
  <c r="AG13" i="4"/>
  <c r="AF13" i="4"/>
  <c r="AH13" i="4" s="1"/>
  <c r="AE13" i="4"/>
  <c r="AC13" i="4"/>
  <c r="AA13" i="4"/>
  <c r="Y13" i="4"/>
  <c r="S13" i="4"/>
  <c r="R13" i="4"/>
  <c r="T13" i="4" s="1"/>
  <c r="Q13" i="4"/>
  <c r="O13" i="4"/>
  <c r="M13" i="4"/>
  <c r="K13" i="4"/>
  <c r="E13" i="4"/>
  <c r="D13" i="4"/>
  <c r="C13" i="4"/>
  <c r="AU12" i="4"/>
  <c r="AW12" i="4" s="1"/>
  <c r="AT12" i="4"/>
  <c r="AV12" i="4" s="1"/>
  <c r="AS12" i="4"/>
  <c r="AQ12" i="4"/>
  <c r="AO12" i="4"/>
  <c r="AM12" i="4"/>
  <c r="AG12" i="4"/>
  <c r="AF12" i="4"/>
  <c r="AH12" i="4" s="1"/>
  <c r="AI12" i="4" s="1"/>
  <c r="AE12" i="4"/>
  <c r="AC12" i="4"/>
  <c r="AA12" i="4"/>
  <c r="Y12" i="4"/>
  <c r="S12" i="4"/>
  <c r="U12" i="4" s="1"/>
  <c r="R12" i="4"/>
  <c r="T12" i="4" s="1"/>
  <c r="Q12" i="4"/>
  <c r="O12" i="4"/>
  <c r="M12" i="4"/>
  <c r="K12" i="4"/>
  <c r="E12" i="4"/>
  <c r="D12" i="4"/>
  <c r="C12" i="4"/>
  <c r="AU11" i="4"/>
  <c r="AT11" i="4"/>
  <c r="AV11" i="4" s="1"/>
  <c r="AS11" i="4"/>
  <c r="AQ11" i="4"/>
  <c r="AO11" i="4"/>
  <c r="AM11" i="4"/>
  <c r="AG11" i="4"/>
  <c r="AF11" i="4"/>
  <c r="AH11" i="4" s="1"/>
  <c r="AE11" i="4"/>
  <c r="AC11" i="4"/>
  <c r="AA11" i="4"/>
  <c r="Y11" i="4"/>
  <c r="S11" i="4"/>
  <c r="R11" i="4"/>
  <c r="T11" i="4" s="1"/>
  <c r="Q11" i="4"/>
  <c r="O11" i="4"/>
  <c r="M11" i="4"/>
  <c r="K11" i="4"/>
  <c r="E11" i="4"/>
  <c r="D11" i="4"/>
  <c r="C11" i="4"/>
  <c r="AU10" i="4"/>
  <c r="AW10" i="4" s="1"/>
  <c r="AT10" i="4"/>
  <c r="AV10" i="4" s="1"/>
  <c r="AS10" i="4"/>
  <c r="AQ10" i="4"/>
  <c r="AO10" i="4"/>
  <c r="AM10" i="4"/>
  <c r="AG10" i="4"/>
  <c r="AI10" i="4" s="1"/>
  <c r="AF10" i="4"/>
  <c r="AH10" i="4" s="1"/>
  <c r="AE10" i="4"/>
  <c r="AC10" i="4"/>
  <c r="AA10" i="4"/>
  <c r="Y10" i="4"/>
  <c r="S10" i="4"/>
  <c r="U10" i="4" s="1"/>
  <c r="R10" i="4"/>
  <c r="T10" i="4" s="1"/>
  <c r="Q10" i="4"/>
  <c r="O10" i="4"/>
  <c r="M10" i="4"/>
  <c r="K10" i="4"/>
  <c r="E10" i="4"/>
  <c r="D10" i="4"/>
  <c r="C10" i="4"/>
  <c r="AU9" i="4"/>
  <c r="AT9" i="4"/>
  <c r="AV9" i="4" s="1"/>
  <c r="AS9" i="4"/>
  <c r="AQ9" i="4"/>
  <c r="AO9" i="4"/>
  <c r="AM9" i="4"/>
  <c r="AG9" i="4"/>
  <c r="AF9" i="4"/>
  <c r="AH9" i="4" s="1"/>
  <c r="AE9" i="4"/>
  <c r="AC9" i="4"/>
  <c r="AA9" i="4"/>
  <c r="Y9" i="4"/>
  <c r="S9" i="4"/>
  <c r="R9" i="4"/>
  <c r="T9" i="4" s="1"/>
  <c r="Q9" i="4"/>
  <c r="O9" i="4"/>
  <c r="M9" i="4"/>
  <c r="K9" i="4"/>
  <c r="E9" i="4"/>
  <c r="D9" i="4"/>
  <c r="C9" i="4"/>
  <c r="AU8" i="4"/>
  <c r="AW8" i="4" s="1"/>
  <c r="AT8" i="4"/>
  <c r="AV8" i="4" s="1"/>
  <c r="AS8" i="4"/>
  <c r="AQ8" i="4"/>
  <c r="AO8" i="4"/>
  <c r="AM8" i="4"/>
  <c r="AG8" i="4"/>
  <c r="AI8" i="4" s="1"/>
  <c r="AF8" i="4"/>
  <c r="AH8" i="4" s="1"/>
  <c r="AE8" i="4"/>
  <c r="AC8" i="4"/>
  <c r="AA8" i="4"/>
  <c r="Y8" i="4"/>
  <c r="S8" i="4"/>
  <c r="U8" i="4" s="1"/>
  <c r="R8" i="4"/>
  <c r="T8" i="4" s="1"/>
  <c r="Q8" i="4"/>
  <c r="O8" i="4"/>
  <c r="M8" i="4"/>
  <c r="K8" i="4"/>
  <c r="E8" i="4"/>
  <c r="D8" i="4"/>
  <c r="C8" i="4"/>
  <c r="AU7" i="4"/>
  <c r="AT7" i="4"/>
  <c r="AV7" i="4" s="1"/>
  <c r="AS7" i="4"/>
  <c r="AQ7" i="4"/>
  <c r="AO7" i="4"/>
  <c r="AM7" i="4"/>
  <c r="AG7" i="4"/>
  <c r="AF7" i="4"/>
  <c r="AH7" i="4" s="1"/>
  <c r="AE7" i="4"/>
  <c r="AC7" i="4"/>
  <c r="AA7" i="4"/>
  <c r="Y7" i="4"/>
  <c r="S7" i="4"/>
  <c r="R7" i="4"/>
  <c r="T7" i="4" s="1"/>
  <c r="Q7" i="4"/>
  <c r="O7" i="4"/>
  <c r="M7" i="4"/>
  <c r="K7" i="4"/>
  <c r="E7" i="4"/>
  <c r="D7" i="4"/>
  <c r="C7" i="4"/>
  <c r="AU6" i="4"/>
  <c r="AW6" i="4" s="1"/>
  <c r="AT6" i="4"/>
  <c r="AV6" i="4" s="1"/>
  <c r="AS6" i="4"/>
  <c r="AQ6" i="4"/>
  <c r="AO6" i="4"/>
  <c r="AM6" i="4"/>
  <c r="AG6" i="4"/>
  <c r="AI6" i="4" s="1"/>
  <c r="AF6" i="4"/>
  <c r="AH6" i="4" s="1"/>
  <c r="AE6" i="4"/>
  <c r="AC6" i="4"/>
  <c r="AA6" i="4"/>
  <c r="Y6" i="4"/>
  <c r="S6" i="4"/>
  <c r="U6" i="4" s="1"/>
  <c r="R6" i="4"/>
  <c r="T6" i="4" s="1"/>
  <c r="Q6" i="4"/>
  <c r="O6" i="4"/>
  <c r="M6" i="4"/>
  <c r="K6" i="4"/>
  <c r="E6" i="4"/>
  <c r="D6" i="4"/>
  <c r="C6" i="4"/>
  <c r="AU5" i="4"/>
  <c r="AT5" i="4"/>
  <c r="AV5" i="4" s="1"/>
  <c r="AS5" i="4"/>
  <c r="AQ5" i="4"/>
  <c r="AO5" i="4"/>
  <c r="AM5" i="4"/>
  <c r="AG5" i="4"/>
  <c r="AF5" i="4"/>
  <c r="AH5" i="4" s="1"/>
  <c r="AE5" i="4"/>
  <c r="AC5" i="4"/>
  <c r="AA5" i="4"/>
  <c r="Y5" i="4"/>
  <c r="S5" i="4"/>
  <c r="R5" i="4"/>
  <c r="T5" i="4" s="1"/>
  <c r="Q5" i="4"/>
  <c r="O5" i="4"/>
  <c r="M5" i="4"/>
  <c r="K5" i="4"/>
  <c r="E5" i="4"/>
  <c r="D5" i="4"/>
  <c r="C5" i="4"/>
  <c r="AU4" i="4"/>
  <c r="AW4" i="4" s="1"/>
  <c r="AT4" i="4"/>
  <c r="AV4" i="4" s="1"/>
  <c r="AS4" i="4"/>
  <c r="AQ4" i="4"/>
  <c r="AO4" i="4"/>
  <c r="AM4" i="4"/>
  <c r="AM36" i="4" s="1"/>
  <c r="AG4" i="4"/>
  <c r="AI4" i="4" s="1"/>
  <c r="AF4" i="4"/>
  <c r="AH4" i="4" s="1"/>
  <c r="AE4" i="4"/>
  <c r="AC4" i="4"/>
  <c r="AA4" i="4"/>
  <c r="Y4" i="4"/>
  <c r="S4" i="4"/>
  <c r="U4" i="4" s="1"/>
  <c r="R4" i="4"/>
  <c r="T4" i="4" s="1"/>
  <c r="Q4" i="4"/>
  <c r="O4" i="4"/>
  <c r="M4" i="4"/>
  <c r="K4" i="4"/>
  <c r="K36" i="4" s="1"/>
  <c r="K37" i="4" s="1"/>
  <c r="E4" i="4"/>
  <c r="D4" i="4"/>
  <c r="C4" i="4"/>
  <c r="K5" i="3" l="1"/>
  <c r="T5" i="3"/>
  <c r="U6" i="3"/>
  <c r="K7" i="3"/>
  <c r="T7" i="3"/>
  <c r="U8" i="3"/>
  <c r="K9" i="3"/>
  <c r="T9" i="3"/>
  <c r="U10" i="3"/>
  <c r="K11" i="3"/>
  <c r="T11" i="3"/>
  <c r="AI11" i="3"/>
  <c r="T13" i="3"/>
  <c r="T14" i="3"/>
  <c r="T15" i="3"/>
  <c r="T16" i="3"/>
  <c r="T32" i="3"/>
  <c r="T34" i="3"/>
  <c r="T35" i="3"/>
  <c r="T36" i="3"/>
  <c r="U7" i="3"/>
  <c r="U9" i="3"/>
  <c r="U13" i="3"/>
  <c r="U15" i="3"/>
  <c r="U17" i="3"/>
  <c r="AI17" i="3"/>
  <c r="T19" i="3"/>
  <c r="K20" i="3"/>
  <c r="U21" i="3"/>
  <c r="K22" i="3"/>
  <c r="T22" i="3"/>
  <c r="U22" i="3" s="1"/>
  <c r="U23" i="3"/>
  <c r="K24" i="3"/>
  <c r="T24" i="3"/>
  <c r="U24" i="3" s="1"/>
  <c r="U25" i="3"/>
  <c r="K26" i="3"/>
  <c r="T26" i="3"/>
  <c r="U26" i="3" s="1"/>
  <c r="U27" i="3"/>
  <c r="T28" i="3"/>
  <c r="T29" i="3"/>
  <c r="K30" i="3"/>
  <c r="W30" i="3" s="1"/>
  <c r="T30" i="3"/>
  <c r="U33" i="3"/>
  <c r="U11" i="3"/>
  <c r="U12" i="3"/>
  <c r="U14" i="3"/>
  <c r="AI14" i="3"/>
  <c r="U16" i="3"/>
  <c r="AI16" i="3"/>
  <c r="AI5" i="3"/>
  <c r="AI6" i="3"/>
  <c r="AI7" i="3"/>
  <c r="AI8" i="3"/>
  <c r="AI9" i="3"/>
  <c r="AI10" i="3"/>
  <c r="AW13" i="3"/>
  <c r="S5" i="3"/>
  <c r="U5" i="3" s="1"/>
  <c r="K13" i="3"/>
  <c r="AV13" i="3"/>
  <c r="K14" i="3"/>
  <c r="AV14" i="3"/>
  <c r="AW14" i="3" s="1"/>
  <c r="K15" i="3"/>
  <c r="AV15" i="3"/>
  <c r="AW15" i="3" s="1"/>
  <c r="K16" i="3"/>
  <c r="AV16" i="3"/>
  <c r="AW16" i="3" s="1"/>
  <c r="K17" i="3"/>
  <c r="AV17" i="3"/>
  <c r="AW17" i="3" s="1"/>
  <c r="U19" i="3"/>
  <c r="AI19" i="3"/>
  <c r="AI20" i="3"/>
  <c r="AI21" i="3"/>
  <c r="AI22" i="3"/>
  <c r="AI23" i="3"/>
  <c r="AI24" i="3"/>
  <c r="AI25" i="3"/>
  <c r="AI26" i="3"/>
  <c r="Y27" i="3"/>
  <c r="AK27" i="3" s="1"/>
  <c r="AG27" i="3"/>
  <c r="AI27" i="3" s="1"/>
  <c r="AI28" i="3"/>
  <c r="AV5" i="3"/>
  <c r="AW5" i="3" s="1"/>
  <c r="AV6" i="3"/>
  <c r="AW6" i="3" s="1"/>
  <c r="AV7" i="3"/>
  <c r="AW7" i="3" s="1"/>
  <c r="AV8" i="3"/>
  <c r="AW8" i="3" s="1"/>
  <c r="AV9" i="3"/>
  <c r="AW9" i="3" s="1"/>
  <c r="AV10" i="3"/>
  <c r="AW10" i="3" s="1"/>
  <c r="AV11" i="3"/>
  <c r="AW11" i="3" s="1"/>
  <c r="AV12" i="3"/>
  <c r="AW12" i="3" s="1"/>
  <c r="U18" i="3"/>
  <c r="AG29" i="3"/>
  <c r="AI29" i="3" s="1"/>
  <c r="Y29" i="3"/>
  <c r="AK29" i="3" s="1"/>
  <c r="AV18" i="3"/>
  <c r="AW18" i="3" s="1"/>
  <c r="K19" i="3"/>
  <c r="AV19" i="3"/>
  <c r="AW19" i="3" s="1"/>
  <c r="AV20" i="3"/>
  <c r="AW20" i="3" s="1"/>
  <c r="AV21" i="3"/>
  <c r="AW21" i="3" s="1"/>
  <c r="AV22" i="3"/>
  <c r="AW22" i="3" s="1"/>
  <c r="AV23" i="3"/>
  <c r="AW23" i="3" s="1"/>
  <c r="AV24" i="3"/>
  <c r="AW24" i="3" s="1"/>
  <c r="AV25" i="3"/>
  <c r="AW25" i="3" s="1"/>
  <c r="AV26" i="3"/>
  <c r="AW26" i="3" s="1"/>
  <c r="AV27" i="3"/>
  <c r="S28" i="3"/>
  <c r="U28" i="3" s="1"/>
  <c r="S29" i="3"/>
  <c r="U29" i="3" s="1"/>
  <c r="Y30" i="3"/>
  <c r="AK30" i="3" s="1"/>
  <c r="AG30" i="3"/>
  <c r="AI30" i="3" s="1"/>
  <c r="AG31" i="3"/>
  <c r="AI31" i="3" s="1"/>
  <c r="Y31" i="3"/>
  <c r="AK31" i="3" s="1"/>
  <c r="U32" i="3"/>
  <c r="AI32" i="3"/>
  <c r="AI35" i="3"/>
  <c r="AI37" i="3"/>
  <c r="AI39" i="3"/>
  <c r="U41" i="3"/>
  <c r="AI41" i="3"/>
  <c r="AV28" i="3"/>
  <c r="AW28" i="3" s="1"/>
  <c r="U30" i="3"/>
  <c r="AI34" i="3"/>
  <c r="AI36" i="3"/>
  <c r="AI38" i="3"/>
  <c r="U40" i="3"/>
  <c r="AI40" i="3"/>
  <c r="AV30" i="3"/>
  <c r="S31" i="3"/>
  <c r="U31" i="3" s="1"/>
  <c r="K32" i="3"/>
  <c r="AV32" i="3"/>
  <c r="AW32" i="3" s="1"/>
  <c r="K33" i="3"/>
  <c r="W33" i="3" s="1"/>
  <c r="AV33" i="3"/>
  <c r="S34" i="3"/>
  <c r="U34" i="3" s="1"/>
  <c r="S35" i="3"/>
  <c r="U35" i="3" s="1"/>
  <c r="S36" i="3"/>
  <c r="U36" i="3" s="1"/>
  <c r="S37" i="3"/>
  <c r="U37" i="3" s="1"/>
  <c r="S38" i="3"/>
  <c r="U38" i="3" s="1"/>
  <c r="S39" i="3"/>
  <c r="U39" i="3" s="1"/>
  <c r="AV40" i="3"/>
  <c r="AW40" i="3" s="1"/>
  <c r="K41" i="3"/>
  <c r="AV41" i="3"/>
  <c r="AW41" i="3" s="1"/>
  <c r="AV29" i="3"/>
  <c r="AV31" i="3"/>
  <c r="AV34" i="3"/>
  <c r="AW34" i="3" s="1"/>
  <c r="AV35" i="3"/>
  <c r="AW35" i="3" s="1"/>
  <c r="AV36" i="3"/>
  <c r="AW36" i="3" s="1"/>
  <c r="AV37" i="3"/>
  <c r="AW37" i="3" s="1"/>
  <c r="AV38" i="3"/>
  <c r="AW38" i="3" s="1"/>
  <c r="AV39" i="3"/>
  <c r="AW39" i="3" s="1"/>
  <c r="U5" i="4"/>
  <c r="AI5" i="4"/>
  <c r="AW5" i="4"/>
  <c r="U7" i="4"/>
  <c r="AI7" i="4"/>
  <c r="AW7" i="4"/>
  <c r="U9" i="4"/>
  <c r="AI9" i="4"/>
  <c r="AW9" i="4"/>
  <c r="U11" i="4"/>
  <c r="AW11" i="4"/>
  <c r="U13" i="4"/>
  <c r="AW13" i="4"/>
  <c r="AW14" i="4"/>
  <c r="AW15" i="4"/>
  <c r="AI18" i="4"/>
  <c r="AI20" i="4"/>
  <c r="AI23" i="4"/>
  <c r="AI25" i="4"/>
  <c r="AI29" i="4"/>
  <c r="U32" i="4"/>
  <c r="AW32" i="4"/>
  <c r="U34" i="4"/>
  <c r="AW34" i="4"/>
  <c r="J36" i="4"/>
  <c r="J37" i="4" s="1"/>
  <c r="AI11" i="4"/>
  <c r="AI13" i="4"/>
  <c r="AI14" i="4"/>
  <c r="U15" i="4"/>
  <c r="AI15" i="4"/>
  <c r="AW17" i="4"/>
  <c r="AW19" i="4"/>
  <c r="AW21" i="4"/>
  <c r="U23" i="4"/>
  <c r="AW23" i="4"/>
  <c r="U25" i="4"/>
  <c r="AW25" i="4"/>
  <c r="X36" i="4"/>
  <c r="AG36" i="4" s="1"/>
  <c r="AI36" i="4" s="1"/>
  <c r="Y26" i="4"/>
  <c r="Y36" i="4" s="1"/>
  <c r="S27" i="4"/>
  <c r="U27" i="4" s="1"/>
  <c r="AI27" i="4"/>
  <c r="AW27" i="4"/>
  <c r="U29" i="4"/>
  <c r="AW29" i="4"/>
  <c r="AI32" i="4"/>
  <c r="AI34" i="4"/>
  <c r="S14" i="4"/>
  <c r="U14" i="4" s="1"/>
  <c r="K42" i="3" l="1"/>
  <c r="Y33" i="3"/>
  <c r="AK33" i="3" s="1"/>
  <c r="AG33" i="3"/>
  <c r="AI33" i="3" s="1"/>
  <c r="AU30" i="3"/>
  <c r="AW30" i="3" s="1"/>
  <c r="AM30" i="3"/>
  <c r="AK42" i="3"/>
  <c r="AK43" i="3" s="1"/>
  <c r="AU27" i="3"/>
  <c r="AW27" i="3" s="1"/>
  <c r="AM27" i="3"/>
  <c r="AM31" i="3"/>
  <c r="AU31" i="3"/>
  <c r="AW31" i="3" s="1"/>
  <c r="AM29" i="3"/>
  <c r="AU29" i="3"/>
  <c r="AW29" i="3" s="1"/>
  <c r="Y42" i="3"/>
  <c r="Y43" i="3" s="1"/>
  <c r="W42" i="3"/>
  <c r="W43" i="3" s="1"/>
  <c r="AU33" i="3" l="1"/>
  <c r="AW33" i="3" s="1"/>
  <c r="AM33" i="3"/>
  <c r="AM42" i="3" s="1"/>
  <c r="AM43" i="3" s="1"/>
  <c r="K32" i="5" l="1"/>
  <c r="J32" i="5"/>
  <c r="I32" i="5"/>
  <c r="AL31" i="5"/>
  <c r="AK31" i="5"/>
  <c r="AH31" i="5"/>
  <c r="X31" i="5"/>
  <c r="X32" i="5" s="1"/>
  <c r="W31" i="5"/>
  <c r="W32" i="5" s="1"/>
  <c r="T31" i="5"/>
  <c r="J31" i="5"/>
  <c r="AU30" i="5"/>
  <c r="AT30" i="5"/>
  <c r="AM30" i="5"/>
  <c r="AG30" i="5"/>
  <c r="AF30" i="5"/>
  <c r="AH30" i="5" s="1"/>
  <c r="AE30" i="5"/>
  <c r="AC30" i="5"/>
  <c r="AA30" i="5"/>
  <c r="Y30" i="5"/>
  <c r="R30" i="5"/>
  <c r="Q30" i="5"/>
  <c r="O30" i="5"/>
  <c r="M30" i="5"/>
  <c r="T30" i="5" s="1"/>
  <c r="K30" i="5"/>
  <c r="I30" i="5"/>
  <c r="S30" i="5" s="1"/>
  <c r="U30" i="5" s="1"/>
  <c r="E30" i="5"/>
  <c r="AU29" i="5"/>
  <c r="AT29" i="5"/>
  <c r="AM29" i="5"/>
  <c r="AG29" i="5"/>
  <c r="AF29" i="5"/>
  <c r="AH29" i="5" s="1"/>
  <c r="AE29" i="5"/>
  <c r="AC29" i="5"/>
  <c r="AA29" i="5"/>
  <c r="Y29" i="5"/>
  <c r="R29" i="5"/>
  <c r="Q29" i="5"/>
  <c r="O29" i="5"/>
  <c r="M29" i="5"/>
  <c r="T29" i="5" s="1"/>
  <c r="K29" i="5"/>
  <c r="I29" i="5"/>
  <c r="S29" i="5" s="1"/>
  <c r="U29" i="5" s="1"/>
  <c r="E29" i="5"/>
  <c r="D29" i="5"/>
  <c r="C29" i="5"/>
  <c r="AU28" i="5"/>
  <c r="AT28" i="5"/>
  <c r="AM28" i="5"/>
  <c r="AG28" i="5"/>
  <c r="AF28" i="5"/>
  <c r="AH28" i="5" s="1"/>
  <c r="AE28" i="5"/>
  <c r="AC28" i="5"/>
  <c r="AA28" i="5"/>
  <c r="Y28" i="5"/>
  <c r="R28" i="5"/>
  <c r="Q28" i="5"/>
  <c r="O28" i="5"/>
  <c r="M28" i="5"/>
  <c r="T28" i="5" s="1"/>
  <c r="I28" i="5"/>
  <c r="K28" i="5" s="1"/>
  <c r="E28" i="5"/>
  <c r="D28" i="5"/>
  <c r="C28" i="5"/>
  <c r="AU27" i="5"/>
  <c r="AT27" i="5"/>
  <c r="AM27" i="5"/>
  <c r="AF27" i="5"/>
  <c r="AH27" i="5" s="1"/>
  <c r="AI27" i="5" s="1"/>
  <c r="AE27" i="5"/>
  <c r="AC27" i="5"/>
  <c r="AA27" i="5"/>
  <c r="Y27" i="5"/>
  <c r="R27" i="5"/>
  <c r="Q27" i="5"/>
  <c r="O27" i="5"/>
  <c r="M27" i="5"/>
  <c r="T27" i="5" s="1"/>
  <c r="U27" i="5" s="1"/>
  <c r="D27" i="5"/>
  <c r="AU26" i="5"/>
  <c r="AT26" i="5"/>
  <c r="AM26" i="5"/>
  <c r="AH26" i="5"/>
  <c r="AI26" i="5" s="1"/>
  <c r="AF26" i="5"/>
  <c r="AE26" i="5"/>
  <c r="AC26" i="5"/>
  <c r="AA26" i="5"/>
  <c r="Y26" i="5"/>
  <c r="R26" i="5"/>
  <c r="Q26" i="5"/>
  <c r="O26" i="5"/>
  <c r="M26" i="5"/>
  <c r="T26" i="5" s="1"/>
  <c r="U26" i="5" s="1"/>
  <c r="D26" i="5"/>
  <c r="AU25" i="5"/>
  <c r="AT25" i="5"/>
  <c r="AM25" i="5"/>
  <c r="AH25" i="5"/>
  <c r="AI25" i="5" s="1"/>
  <c r="AF25" i="5"/>
  <c r="AE25" i="5"/>
  <c r="AC25" i="5"/>
  <c r="AA25" i="5"/>
  <c r="Y25" i="5"/>
  <c r="R25" i="5"/>
  <c r="Q25" i="5"/>
  <c r="O25" i="5"/>
  <c r="M25" i="5"/>
  <c r="T25" i="5" s="1"/>
  <c r="U25" i="5" s="1"/>
  <c r="D25" i="5"/>
  <c r="AU24" i="5"/>
  <c r="AT24" i="5"/>
  <c r="AM24" i="5"/>
  <c r="AG24" i="5"/>
  <c r="AF24" i="5"/>
  <c r="AH24" i="5" s="1"/>
  <c r="AE24" i="5"/>
  <c r="AC24" i="5"/>
  <c r="AA24" i="5"/>
  <c r="Y24" i="5"/>
  <c r="R24" i="5"/>
  <c r="Q24" i="5"/>
  <c r="O24" i="5"/>
  <c r="T24" i="5" s="1"/>
  <c r="M24" i="5"/>
  <c r="K24" i="5"/>
  <c r="I24" i="5"/>
  <c r="S24" i="5" s="1"/>
  <c r="U24" i="5" s="1"/>
  <c r="D24" i="5"/>
  <c r="C24" i="5"/>
  <c r="AT23" i="5"/>
  <c r="AM23" i="5"/>
  <c r="AH23" i="5"/>
  <c r="AI23" i="5" s="1"/>
  <c r="AF23" i="5"/>
  <c r="AE23" i="5"/>
  <c r="AC23" i="5"/>
  <c r="AA23" i="5"/>
  <c r="Y23" i="5"/>
  <c r="R23" i="5"/>
  <c r="Q23" i="5"/>
  <c r="O23" i="5"/>
  <c r="M23" i="5"/>
  <c r="T23" i="5" s="1"/>
  <c r="U23" i="5" s="1"/>
  <c r="K23" i="5"/>
  <c r="D23" i="5"/>
  <c r="AU22" i="5"/>
  <c r="AT22" i="5"/>
  <c r="AM22" i="5"/>
  <c r="AG22" i="5"/>
  <c r="AI22" i="5" s="1"/>
  <c r="AF22" i="5"/>
  <c r="AH22" i="5" s="1"/>
  <c r="AE22" i="5"/>
  <c r="AC22" i="5"/>
  <c r="AA22" i="5"/>
  <c r="Y22" i="5"/>
  <c r="R22" i="5"/>
  <c r="Q22" i="5"/>
  <c r="O22" i="5"/>
  <c r="M22" i="5"/>
  <c r="T22" i="5" s="1"/>
  <c r="I22" i="5"/>
  <c r="S22" i="5" s="1"/>
  <c r="U22" i="5" s="1"/>
  <c r="E22" i="5"/>
  <c r="D22" i="5"/>
  <c r="AT21" i="5"/>
  <c r="AH21" i="5"/>
  <c r="AI21" i="5" s="1"/>
  <c r="AE21" i="5"/>
  <c r="AC21" i="5"/>
  <c r="AA21" i="5"/>
  <c r="R21" i="5"/>
  <c r="Q21" i="5"/>
  <c r="O21" i="5"/>
  <c r="M21" i="5"/>
  <c r="T21" i="5" s="1"/>
  <c r="U21" i="5" s="1"/>
  <c r="AU20" i="5"/>
  <c r="AT20" i="5"/>
  <c r="AH20" i="5"/>
  <c r="AI20" i="5" s="1"/>
  <c r="AE20" i="5"/>
  <c r="AC20" i="5"/>
  <c r="AA20" i="5"/>
  <c r="R20" i="5"/>
  <c r="Q20" i="5"/>
  <c r="O20" i="5"/>
  <c r="M20" i="5"/>
  <c r="T20" i="5" s="1"/>
  <c r="U20" i="5" s="1"/>
  <c r="AU19" i="5"/>
  <c r="AT19" i="5"/>
  <c r="AM19" i="5"/>
  <c r="AG19" i="5"/>
  <c r="AF19" i="5"/>
  <c r="AH19" i="5" s="1"/>
  <c r="AE19" i="5"/>
  <c r="AC19" i="5"/>
  <c r="AA19" i="5"/>
  <c r="Y19" i="5"/>
  <c r="R19" i="5"/>
  <c r="Q19" i="5"/>
  <c r="O19" i="5"/>
  <c r="M19" i="5"/>
  <c r="T19" i="5" s="1"/>
  <c r="I19" i="5"/>
  <c r="S19" i="5" s="1"/>
  <c r="C19" i="5"/>
  <c r="AT18" i="5"/>
  <c r="AF18" i="5"/>
  <c r="AH18" i="5" s="1"/>
  <c r="AI18" i="5" s="1"/>
  <c r="AE18" i="5"/>
  <c r="AC18" i="5"/>
  <c r="AA18" i="5"/>
  <c r="R18" i="5"/>
  <c r="Q18" i="5"/>
  <c r="O18" i="5"/>
  <c r="M18" i="5"/>
  <c r="T18" i="5" s="1"/>
  <c r="U18" i="5" s="1"/>
  <c r="AU17" i="5"/>
  <c r="AT17" i="5"/>
  <c r="AM17" i="5"/>
  <c r="AG17" i="5"/>
  <c r="AF17" i="5"/>
  <c r="AH17" i="5" s="1"/>
  <c r="AE17" i="5"/>
  <c r="AC17" i="5"/>
  <c r="AA17" i="5"/>
  <c r="Y17" i="5"/>
  <c r="R17" i="5"/>
  <c r="Q17" i="5"/>
  <c r="O17" i="5"/>
  <c r="T17" i="5" s="1"/>
  <c r="M17" i="5"/>
  <c r="K17" i="5"/>
  <c r="I17" i="5"/>
  <c r="S17" i="5" s="1"/>
  <c r="U17" i="5" s="1"/>
  <c r="E17" i="5"/>
  <c r="D17" i="5"/>
  <c r="C17" i="5"/>
  <c r="AV16" i="5"/>
  <c r="AS16" i="5"/>
  <c r="AQ16" i="5"/>
  <c r="AO16" i="5"/>
  <c r="AM16" i="5"/>
  <c r="AH16" i="5"/>
  <c r="AE16" i="5"/>
  <c r="AC16" i="5"/>
  <c r="AA16" i="5"/>
  <c r="Y16" i="5"/>
  <c r="R16" i="5"/>
  <c r="I16" i="5"/>
  <c r="E16" i="5"/>
  <c r="D16" i="5"/>
  <c r="C16" i="5"/>
  <c r="AT15" i="5"/>
  <c r="AF15" i="5"/>
  <c r="AH15" i="5" s="1"/>
  <c r="AI15" i="5" s="1"/>
  <c r="AE15" i="5"/>
  <c r="AC15" i="5"/>
  <c r="AA15" i="5"/>
  <c r="R15" i="5"/>
  <c r="Q15" i="5"/>
  <c r="O15" i="5"/>
  <c r="M15" i="5"/>
  <c r="T15" i="5" s="1"/>
  <c r="U15" i="5" s="1"/>
  <c r="AT14" i="5"/>
  <c r="AF14" i="5"/>
  <c r="AH14" i="5" s="1"/>
  <c r="AI14" i="5" s="1"/>
  <c r="AE14" i="5"/>
  <c r="AC14" i="5"/>
  <c r="AA14" i="5"/>
  <c r="R14" i="5"/>
  <c r="Q14" i="5"/>
  <c r="O14" i="5"/>
  <c r="M14" i="5"/>
  <c r="T14" i="5" s="1"/>
  <c r="U14" i="5" s="1"/>
  <c r="AT13" i="5"/>
  <c r="AF13" i="5"/>
  <c r="AH13" i="5" s="1"/>
  <c r="AI13" i="5" s="1"/>
  <c r="AE13" i="5"/>
  <c r="AC13" i="5"/>
  <c r="AA13" i="5"/>
  <c r="R13" i="5"/>
  <c r="Q13" i="5"/>
  <c r="O13" i="5"/>
  <c r="M13" i="5"/>
  <c r="T13" i="5" s="1"/>
  <c r="U13" i="5" s="1"/>
  <c r="AU12" i="5"/>
  <c r="AT12" i="5"/>
  <c r="AM12" i="5"/>
  <c r="AG12" i="5"/>
  <c r="AF12" i="5"/>
  <c r="AH12" i="5" s="1"/>
  <c r="AE12" i="5"/>
  <c r="AC12" i="5"/>
  <c r="AA12" i="5"/>
  <c r="Y12" i="5"/>
  <c r="R12" i="5"/>
  <c r="Q12" i="5"/>
  <c r="O12" i="5"/>
  <c r="M12" i="5"/>
  <c r="T12" i="5" s="1"/>
  <c r="I12" i="5"/>
  <c r="S12" i="5" s="1"/>
  <c r="E12" i="5"/>
  <c r="D12" i="5"/>
  <c r="C12" i="5"/>
  <c r="AT11" i="5"/>
  <c r="AF11" i="5"/>
  <c r="AH11" i="5" s="1"/>
  <c r="AI11" i="5" s="1"/>
  <c r="AE11" i="5"/>
  <c r="AC11" i="5"/>
  <c r="AA11" i="5"/>
  <c r="R11" i="5"/>
  <c r="Q11" i="5"/>
  <c r="O11" i="5"/>
  <c r="M11" i="5"/>
  <c r="T11" i="5" s="1"/>
  <c r="U11" i="5" s="1"/>
  <c r="AU10" i="5"/>
  <c r="AT10" i="5"/>
  <c r="AM10" i="5"/>
  <c r="AG10" i="5"/>
  <c r="AF10" i="5"/>
  <c r="AH10" i="5" s="1"/>
  <c r="AE10" i="5"/>
  <c r="AC10" i="5"/>
  <c r="AA10" i="5"/>
  <c r="Y10" i="5"/>
  <c r="R10" i="5"/>
  <c r="Q10" i="5"/>
  <c r="O10" i="5"/>
  <c r="M10" i="5"/>
  <c r="T10" i="5" s="1"/>
  <c r="I10" i="5"/>
  <c r="S10" i="5" s="1"/>
  <c r="E10" i="5"/>
  <c r="D10" i="5"/>
  <c r="C10" i="5"/>
  <c r="AT9" i="5"/>
  <c r="AV9" i="5" s="1"/>
  <c r="AW9" i="5" s="1"/>
  <c r="AS9" i="5"/>
  <c r="AQ9" i="5"/>
  <c r="AH9" i="5"/>
  <c r="AI9" i="5" s="1"/>
  <c r="AF9" i="5"/>
  <c r="AE9" i="5"/>
  <c r="AC9" i="5"/>
  <c r="AA9" i="5"/>
  <c r="R9" i="5"/>
  <c r="Q9" i="5"/>
  <c r="O9" i="5"/>
  <c r="M9" i="5"/>
  <c r="AU8" i="5"/>
  <c r="AT8" i="5"/>
  <c r="AM8" i="5"/>
  <c r="AG8" i="5"/>
  <c r="AI8" i="5" s="1"/>
  <c r="AF8" i="5"/>
  <c r="AH8" i="5" s="1"/>
  <c r="AE8" i="5"/>
  <c r="AC8" i="5"/>
  <c r="AA8" i="5"/>
  <c r="Y8" i="5"/>
  <c r="R8" i="5"/>
  <c r="Q8" i="5"/>
  <c r="O8" i="5"/>
  <c r="T8" i="5" s="1"/>
  <c r="M8" i="5"/>
  <c r="K8" i="5"/>
  <c r="I8" i="5"/>
  <c r="S8" i="5" s="1"/>
  <c r="E8" i="5"/>
  <c r="D8" i="5"/>
  <c r="C8" i="5"/>
  <c r="AU7" i="5"/>
  <c r="AT7" i="5"/>
  <c r="AM7" i="5"/>
  <c r="AG7" i="5"/>
  <c r="AI7" i="5" s="1"/>
  <c r="AF7" i="5"/>
  <c r="AH7" i="5" s="1"/>
  <c r="AE7" i="5"/>
  <c r="AC7" i="5"/>
  <c r="AA7" i="5"/>
  <c r="Y7" i="5"/>
  <c r="R7" i="5"/>
  <c r="Q7" i="5"/>
  <c r="O7" i="5"/>
  <c r="T7" i="5" s="1"/>
  <c r="M7" i="5"/>
  <c r="K7" i="5"/>
  <c r="I7" i="5"/>
  <c r="S7" i="5" s="1"/>
  <c r="E7" i="5"/>
  <c r="D7" i="5"/>
  <c r="C7" i="5"/>
  <c r="AU6" i="5"/>
  <c r="AT6" i="5"/>
  <c r="AM6" i="5"/>
  <c r="AG6" i="5"/>
  <c r="AI6" i="5" s="1"/>
  <c r="AF6" i="5"/>
  <c r="AH6" i="5" s="1"/>
  <c r="AE6" i="5"/>
  <c r="AC6" i="5"/>
  <c r="AA6" i="5"/>
  <c r="Y6" i="5"/>
  <c r="R6" i="5"/>
  <c r="Q6" i="5"/>
  <c r="O6" i="5"/>
  <c r="T6" i="5" s="1"/>
  <c r="M6" i="5"/>
  <c r="K6" i="5"/>
  <c r="I6" i="5"/>
  <c r="S6" i="5" s="1"/>
  <c r="E6" i="5"/>
  <c r="D6" i="5"/>
  <c r="C6" i="5"/>
  <c r="AU5" i="5"/>
  <c r="AT5" i="5"/>
  <c r="AM5" i="5"/>
  <c r="AG5" i="5"/>
  <c r="AI5" i="5" s="1"/>
  <c r="AF5" i="5"/>
  <c r="AH5" i="5" s="1"/>
  <c r="AE5" i="5"/>
  <c r="AC5" i="5"/>
  <c r="AA5" i="5"/>
  <c r="Y5" i="5"/>
  <c r="R5" i="5"/>
  <c r="Q5" i="5"/>
  <c r="O5" i="5"/>
  <c r="T5" i="5" s="1"/>
  <c r="M5" i="5"/>
  <c r="K5" i="5"/>
  <c r="I5" i="5"/>
  <c r="S5" i="5" s="1"/>
  <c r="E5" i="5"/>
  <c r="D5" i="5"/>
  <c r="C5" i="5"/>
  <c r="AU4" i="5"/>
  <c r="AT4" i="5"/>
  <c r="AM4" i="5"/>
  <c r="AM31" i="5" s="1"/>
  <c r="AG4" i="5"/>
  <c r="AI4" i="5" s="1"/>
  <c r="AF4" i="5"/>
  <c r="AH4" i="5" s="1"/>
  <c r="AE4" i="5"/>
  <c r="AC4" i="5"/>
  <c r="AA4" i="5"/>
  <c r="Y4" i="5"/>
  <c r="Y31" i="5" s="1"/>
  <c r="Y32" i="5" s="1"/>
  <c r="R4" i="5"/>
  <c r="Q4" i="5"/>
  <c r="O4" i="5"/>
  <c r="T4" i="5" s="1"/>
  <c r="M4" i="5"/>
  <c r="K4" i="5"/>
  <c r="I4" i="5"/>
  <c r="I31" i="5" s="1"/>
  <c r="E4" i="5"/>
  <c r="D4" i="5"/>
  <c r="C4" i="5"/>
  <c r="U5" i="5" l="1"/>
  <c r="U6" i="5"/>
  <c r="U7" i="5"/>
  <c r="U8" i="5"/>
  <c r="U10" i="5"/>
  <c r="AI10" i="5"/>
  <c r="AV10" i="5"/>
  <c r="AQ11" i="5"/>
  <c r="AS11" i="5"/>
  <c r="AO11" i="5"/>
  <c r="AV11" i="5"/>
  <c r="AW11" i="5" s="1"/>
  <c r="U12" i="5"/>
  <c r="AI12" i="5"/>
  <c r="AV12" i="5"/>
  <c r="AQ13" i="5"/>
  <c r="AS13" i="5"/>
  <c r="AO13" i="5"/>
  <c r="AV13" i="5"/>
  <c r="AW13" i="5" s="1"/>
  <c r="AQ15" i="5"/>
  <c r="AS15" i="5"/>
  <c r="AO15" i="5"/>
  <c r="AV4" i="5"/>
  <c r="AW4" i="5" s="1"/>
  <c r="AV5" i="5"/>
  <c r="AW5" i="5" s="1"/>
  <c r="AV6" i="5"/>
  <c r="AW6" i="5" s="1"/>
  <c r="AV7" i="5"/>
  <c r="AW7" i="5" s="1"/>
  <c r="AV8" i="5"/>
  <c r="AW8" i="5" s="1"/>
  <c r="AW10" i="5"/>
  <c r="AW12" i="5"/>
  <c r="AS14" i="5"/>
  <c r="AO14" i="5"/>
  <c r="AQ14" i="5"/>
  <c r="S4" i="5"/>
  <c r="U4" i="5" s="1"/>
  <c r="K10" i="5"/>
  <c r="K31" i="5" s="1"/>
  <c r="K12" i="5"/>
  <c r="AV15" i="5"/>
  <c r="AW15" i="5" s="1"/>
  <c r="AI17" i="5"/>
  <c r="AV17" i="5"/>
  <c r="AQ18" i="5"/>
  <c r="AS18" i="5"/>
  <c r="AO18" i="5"/>
  <c r="AV18" i="5"/>
  <c r="AW18" i="5" s="1"/>
  <c r="U19" i="5"/>
  <c r="AI19" i="5"/>
  <c r="AV19" i="5"/>
  <c r="AS20" i="5"/>
  <c r="AO20" i="5"/>
  <c r="AQ20" i="5"/>
  <c r="AV20" i="5"/>
  <c r="AV21" i="5"/>
  <c r="AW21" i="5" s="1"/>
  <c r="AS21" i="5"/>
  <c r="AO21" i="5"/>
  <c r="AQ21" i="5"/>
  <c r="AV23" i="5"/>
  <c r="AW23" i="5" s="1"/>
  <c r="AI24" i="5"/>
  <c r="AV24" i="5"/>
  <c r="AV25" i="5"/>
  <c r="AV26" i="5"/>
  <c r="AI28" i="5"/>
  <c r="AI29" i="5"/>
  <c r="AV29" i="5"/>
  <c r="AI30" i="5"/>
  <c r="AV30" i="5"/>
  <c r="S31" i="5"/>
  <c r="U31" i="5" s="1"/>
  <c r="AV14" i="5"/>
  <c r="AW14" i="5" s="1"/>
  <c r="AS17" i="5"/>
  <c r="AQ17" i="5"/>
  <c r="AW17" i="5"/>
  <c r="AW19" i="5"/>
  <c r="AW20" i="5"/>
  <c r="AS22" i="5"/>
  <c r="AO22" i="5"/>
  <c r="AQ22" i="5"/>
  <c r="AV22" i="5"/>
  <c r="AW22" i="5" s="1"/>
  <c r="AQ23" i="5"/>
  <c r="AS23" i="5"/>
  <c r="AO23" i="5"/>
  <c r="AQ24" i="5"/>
  <c r="AS24" i="5"/>
  <c r="AO24" i="5"/>
  <c r="AW24" i="5"/>
  <c r="AQ25" i="5"/>
  <c r="AS25" i="5"/>
  <c r="AO25" i="5"/>
  <c r="AW25" i="5"/>
  <c r="AQ26" i="5"/>
  <c r="AS26" i="5"/>
  <c r="AO26" i="5"/>
  <c r="AW26" i="5"/>
  <c r="AQ27" i="5"/>
  <c r="AS27" i="5"/>
  <c r="AO27" i="5"/>
  <c r="AV27" i="5"/>
  <c r="AW27" i="5" s="1"/>
  <c r="AQ29" i="5"/>
  <c r="AS29" i="5"/>
  <c r="AO29" i="5"/>
  <c r="AW29" i="5"/>
  <c r="AQ30" i="5"/>
  <c r="AS30" i="5"/>
  <c r="AO30" i="5"/>
  <c r="AW30" i="5"/>
  <c r="K19" i="5"/>
  <c r="K22" i="5"/>
  <c r="S28" i="5"/>
  <c r="U28" i="5" s="1"/>
  <c r="AG31" i="5"/>
  <c r="AI31" i="5" s="1"/>
  <c r="AS19" i="5" l="1"/>
  <c r="AO19" i="5"/>
  <c r="AQ19" i="5"/>
  <c r="AQ4" i="5"/>
  <c r="AS4" i="5"/>
  <c r="AO4" i="5"/>
  <c r="AS10" i="5"/>
  <c r="AO10" i="5"/>
  <c r="AQ10" i="5"/>
  <c r="AQ8" i="5"/>
  <c r="AS8" i="5"/>
  <c r="AO8" i="5"/>
  <c r="AQ7" i="5"/>
  <c r="AS7" i="5"/>
  <c r="AO7" i="5"/>
  <c r="AQ6" i="5"/>
  <c r="AS6" i="5"/>
  <c r="AO6" i="5"/>
  <c r="AQ5" i="5"/>
  <c r="AS5" i="5"/>
  <c r="AO5" i="5"/>
  <c r="AQ28" i="5"/>
  <c r="AS28" i="5"/>
  <c r="AO28" i="5"/>
  <c r="AV28" i="5"/>
  <c r="AW28" i="5" s="1"/>
  <c r="AS12" i="5"/>
  <c r="AO12" i="5"/>
  <c r="AQ12" i="5"/>
  <c r="M4" i="22" l="1"/>
  <c r="O4" i="22"/>
  <c r="Q4" i="22"/>
  <c r="R4" i="22"/>
  <c r="T4" i="22"/>
  <c r="Y4" i="22"/>
  <c r="AA4" i="22"/>
  <c r="AC4" i="22"/>
  <c r="AE4" i="22"/>
  <c r="AF4" i="22"/>
  <c r="AG4" i="22"/>
  <c r="AH4" i="22"/>
  <c r="AI4" i="22" s="1"/>
  <c r="M5" i="22"/>
  <c r="R5" i="22" s="1"/>
  <c r="O5" i="22"/>
  <c r="Q5" i="22"/>
  <c r="Y5" i="22"/>
  <c r="AA5" i="22"/>
  <c r="AF5" i="22" s="1"/>
  <c r="AC5" i="22"/>
  <c r="AE5" i="22"/>
  <c r="AG5" i="22"/>
  <c r="M6" i="22"/>
  <c r="O6" i="22"/>
  <c r="Q6" i="22"/>
  <c r="R6" i="22"/>
  <c r="T6" i="22"/>
  <c r="Y6" i="22"/>
  <c r="AA6" i="22"/>
  <c r="AC6" i="22"/>
  <c r="AE6" i="22"/>
  <c r="AF6" i="22"/>
  <c r="AG6" i="22"/>
  <c r="AH6" i="22"/>
  <c r="AI6" i="22" s="1"/>
  <c r="M7" i="22"/>
  <c r="R7" i="22" s="1"/>
  <c r="O7" i="22"/>
  <c r="Q7" i="22"/>
  <c r="Y7" i="22"/>
  <c r="AA7" i="22"/>
  <c r="AF7" i="22" s="1"/>
  <c r="AC7" i="22"/>
  <c r="AE7" i="22"/>
  <c r="AG7" i="22"/>
  <c r="M8" i="22"/>
  <c r="O8" i="22"/>
  <c r="Q8" i="22"/>
  <c r="R8" i="22"/>
  <c r="T8" i="22"/>
  <c r="Y8" i="22"/>
  <c r="AA8" i="22"/>
  <c r="AC8" i="22"/>
  <c r="AE8" i="22"/>
  <c r="AF8" i="22"/>
  <c r="AG8" i="22"/>
  <c r="AH8" i="22"/>
  <c r="AI8" i="22" s="1"/>
  <c r="M9" i="22"/>
  <c r="R9" i="22" s="1"/>
  <c r="O9" i="22"/>
  <c r="Q9" i="22"/>
  <c r="Y9" i="22"/>
  <c r="AA9" i="22"/>
  <c r="AF9" i="22" s="1"/>
  <c r="AC9" i="22"/>
  <c r="AE9" i="22"/>
  <c r="AG9" i="22"/>
  <c r="M10" i="22"/>
  <c r="O10" i="22"/>
  <c r="Q10" i="22"/>
  <c r="R10" i="22"/>
  <c r="T10" i="22"/>
  <c r="Y10" i="22"/>
  <c r="AA10" i="22"/>
  <c r="AC10" i="22"/>
  <c r="AE10" i="22"/>
  <c r="AF10" i="22"/>
  <c r="AG10" i="22"/>
  <c r="AH10" i="22"/>
  <c r="AI10" i="22" s="1"/>
  <c r="M11" i="22"/>
  <c r="R11" i="22" s="1"/>
  <c r="O11" i="22"/>
  <c r="Q11" i="22"/>
  <c r="Y11" i="22"/>
  <c r="AA11" i="22"/>
  <c r="AF11" i="22" s="1"/>
  <c r="AC11" i="22"/>
  <c r="AE11" i="22"/>
  <c r="AG11" i="22"/>
  <c r="M12" i="22"/>
  <c r="O12" i="22"/>
  <c r="Q12" i="22"/>
  <c r="R12" i="22"/>
  <c r="T12" i="22"/>
  <c r="Y12" i="22"/>
  <c r="AA12" i="22"/>
  <c r="AC12" i="22"/>
  <c r="AE12" i="22"/>
  <c r="AF12" i="22"/>
  <c r="AG12" i="22"/>
  <c r="AH12" i="22"/>
  <c r="AI12" i="22" s="1"/>
  <c r="M13" i="22"/>
  <c r="R13" i="22" s="1"/>
  <c r="O13" i="22"/>
  <c r="Q13" i="22"/>
  <c r="Y13" i="22"/>
  <c r="AA13" i="22"/>
  <c r="AF13" i="22" s="1"/>
  <c r="AC13" i="22"/>
  <c r="AE13" i="22"/>
  <c r="AG13" i="22"/>
  <c r="M14" i="22"/>
  <c r="O14" i="22"/>
  <c r="Q14" i="22"/>
  <c r="R14" i="22"/>
  <c r="T14" i="22"/>
  <c r="Y14" i="22"/>
  <c r="AA14" i="22"/>
  <c r="AC14" i="22"/>
  <c r="AE14" i="22"/>
  <c r="AF14" i="22"/>
  <c r="AG14" i="22"/>
  <c r="AH14" i="22"/>
  <c r="AI14" i="22" s="1"/>
  <c r="M15" i="22"/>
  <c r="R15" i="22" s="1"/>
  <c r="O15" i="22"/>
  <c r="Q15" i="22"/>
  <c r="Y15" i="22"/>
  <c r="AA15" i="22"/>
  <c r="AF15" i="22" s="1"/>
  <c r="AC15" i="22"/>
  <c r="AE15" i="22"/>
  <c r="AG15" i="22"/>
  <c r="M16" i="22"/>
  <c r="O16" i="22"/>
  <c r="Q16" i="22"/>
  <c r="R16" i="22"/>
  <c r="T16" i="22"/>
  <c r="Y16" i="22"/>
  <c r="AA16" i="22"/>
  <c r="AC16" i="22"/>
  <c r="AE16" i="22"/>
  <c r="AF16" i="22"/>
  <c r="AG16" i="22"/>
  <c r="AH16" i="22"/>
  <c r="AI16" i="22" s="1"/>
  <c r="M17" i="22"/>
  <c r="R17" i="22" s="1"/>
  <c r="O17" i="22"/>
  <c r="Q17" i="22"/>
  <c r="Y17" i="22"/>
  <c r="AA17" i="22"/>
  <c r="AF17" i="22" s="1"/>
  <c r="AC17" i="22"/>
  <c r="AE17" i="22"/>
  <c r="AG17" i="22"/>
  <c r="M18" i="22"/>
  <c r="O18" i="22"/>
  <c r="Q18" i="22"/>
  <c r="R18" i="22"/>
  <c r="T18" i="22"/>
  <c r="Y18" i="22"/>
  <c r="AA18" i="22"/>
  <c r="AC18" i="22"/>
  <c r="AE18" i="22"/>
  <c r="AF18" i="22"/>
  <c r="AG18" i="22"/>
  <c r="AH18" i="22"/>
  <c r="AI18" i="22" s="1"/>
  <c r="M19" i="22"/>
  <c r="R19" i="22" s="1"/>
  <c r="O19" i="22"/>
  <c r="Q19" i="22"/>
  <c r="Y19" i="22"/>
  <c r="AA19" i="22"/>
  <c r="AF19" i="22" s="1"/>
  <c r="AC19" i="22"/>
  <c r="AE19" i="22"/>
  <c r="AG19" i="22"/>
  <c r="M20" i="22"/>
  <c r="O20" i="22"/>
  <c r="Q20" i="22"/>
  <c r="R20" i="22"/>
  <c r="T20" i="22"/>
  <c r="Y20" i="22"/>
  <c r="AA20" i="22"/>
  <c r="AC20" i="22"/>
  <c r="AE20" i="22"/>
  <c r="AF20" i="22"/>
  <c r="AG20" i="22"/>
  <c r="AH20" i="22"/>
  <c r="AI20" i="22" s="1"/>
  <c r="M21" i="22"/>
  <c r="R21" i="22" s="1"/>
  <c r="O21" i="22"/>
  <c r="Q21" i="22"/>
  <c r="Y21" i="22"/>
  <c r="AA21" i="22"/>
  <c r="AF21" i="22" s="1"/>
  <c r="AC21" i="22"/>
  <c r="AE21" i="22"/>
  <c r="AG21" i="22"/>
  <c r="M22" i="22"/>
  <c r="O22" i="22"/>
  <c r="Q22" i="22"/>
  <c r="R22" i="22"/>
  <c r="T22" i="22" s="1"/>
  <c r="Y22" i="22"/>
  <c r="AA22" i="22"/>
  <c r="AC22" i="22"/>
  <c r="AE22" i="22"/>
  <c r="AF22" i="22"/>
  <c r="AG22" i="22"/>
  <c r="AH22" i="22"/>
  <c r="AI22" i="22" s="1"/>
  <c r="M23" i="22"/>
  <c r="R23" i="22" s="1"/>
  <c r="O23" i="22"/>
  <c r="Q23" i="22"/>
  <c r="Y23" i="22"/>
  <c r="AA23" i="22"/>
  <c r="AC23" i="22"/>
  <c r="AE23" i="22"/>
  <c r="AF23" i="22"/>
  <c r="AG23" i="22"/>
  <c r="M24" i="22"/>
  <c r="R24" i="22" s="1"/>
  <c r="O24" i="22"/>
  <c r="Q24" i="22"/>
  <c r="Q26" i="22" s="1"/>
  <c r="Y24" i="22"/>
  <c r="AA24" i="22"/>
  <c r="AC24" i="22"/>
  <c r="AE24" i="22"/>
  <c r="AF24" i="22"/>
  <c r="AG24" i="22"/>
  <c r="M25" i="22"/>
  <c r="R25" i="22" s="1"/>
  <c r="O25" i="22"/>
  <c r="Q25" i="22"/>
  <c r="Y25" i="22"/>
  <c r="AA25" i="22"/>
  <c r="AC25" i="22"/>
  <c r="AE25" i="22"/>
  <c r="AF25" i="22"/>
  <c r="AG25" i="22"/>
  <c r="L26" i="22"/>
  <c r="N26" i="22"/>
  <c r="P26" i="22"/>
  <c r="R26" i="22"/>
  <c r="T26" i="22"/>
  <c r="W26" i="22"/>
  <c r="W27" i="22" s="1"/>
  <c r="X26" i="22"/>
  <c r="Y26" i="22"/>
  <c r="Y27" i="22" s="1"/>
  <c r="Z26" i="22"/>
  <c r="AB26" i="22"/>
  <c r="AC26" i="22"/>
  <c r="AD26" i="22"/>
  <c r="AE26" i="22"/>
  <c r="AG26" i="22"/>
  <c r="X27" i="22"/>
  <c r="AM4" i="22"/>
  <c r="AM5" i="22"/>
  <c r="AM6" i="22"/>
  <c r="AM7" i="22"/>
  <c r="AM8" i="22"/>
  <c r="AM9" i="22"/>
  <c r="AM10" i="22"/>
  <c r="AM11" i="22"/>
  <c r="AM12" i="22"/>
  <c r="AM13" i="22"/>
  <c r="AM14" i="22"/>
  <c r="AM15" i="22"/>
  <c r="AM16" i="22"/>
  <c r="AM17" i="22"/>
  <c r="AM18" i="22"/>
  <c r="AM19" i="22"/>
  <c r="AM20" i="22"/>
  <c r="AM21" i="22"/>
  <c r="AM22" i="22"/>
  <c r="AM23" i="22"/>
  <c r="AM24" i="22"/>
  <c r="AM25" i="22"/>
  <c r="AK26" i="22"/>
  <c r="AK27" i="22" s="1"/>
  <c r="AL26" i="22"/>
  <c r="AM26" i="22"/>
  <c r="AM27" i="22" s="1"/>
  <c r="AL27" i="22"/>
  <c r="T25" i="22" l="1"/>
  <c r="U25" i="22" s="1"/>
  <c r="AH25" i="22"/>
  <c r="AI25" i="22" s="1"/>
  <c r="T23" i="22"/>
  <c r="U23" i="22" s="1"/>
  <c r="AH23" i="22"/>
  <c r="AI23" i="22" s="1"/>
  <c r="T24" i="22"/>
  <c r="U24" i="22" s="1"/>
  <c r="AH24" i="22"/>
  <c r="AI24" i="22" s="1"/>
  <c r="T21" i="22"/>
  <c r="AH21" i="22"/>
  <c r="AI21" i="22" s="1"/>
  <c r="T19" i="22"/>
  <c r="AH19" i="22"/>
  <c r="AI19" i="22" s="1"/>
  <c r="T17" i="22"/>
  <c r="AH17" i="22"/>
  <c r="AI17" i="22" s="1"/>
  <c r="T15" i="22"/>
  <c r="AH15" i="22"/>
  <c r="AI15" i="22" s="1"/>
  <c r="T13" i="22"/>
  <c r="AH13" i="22"/>
  <c r="AI13" i="22" s="1"/>
  <c r="T11" i="22"/>
  <c r="AH11" i="22"/>
  <c r="AI11" i="22" s="1"/>
  <c r="T9" i="22"/>
  <c r="AH9" i="22"/>
  <c r="AI9" i="22" s="1"/>
  <c r="T7" i="22"/>
  <c r="AH7" i="22"/>
  <c r="AI7" i="22" s="1"/>
  <c r="T5" i="22"/>
  <c r="AH5" i="22"/>
  <c r="AI5" i="22" s="1"/>
  <c r="AS5" i="22"/>
  <c r="AS6" i="22"/>
  <c r="AS7" i="22"/>
  <c r="AS8" i="22"/>
  <c r="AS9" i="22"/>
  <c r="AS10" i="22"/>
  <c r="AS11" i="22"/>
  <c r="AS12" i="22"/>
  <c r="AS13" i="22"/>
  <c r="AS14" i="22"/>
  <c r="AS15" i="22"/>
  <c r="AS16" i="22"/>
  <c r="AS17" i="22"/>
  <c r="AS18" i="22"/>
  <c r="AS19" i="22"/>
  <c r="AS20" i="22"/>
  <c r="AS21" i="22"/>
  <c r="AS22" i="22"/>
  <c r="AS23" i="22"/>
  <c r="AS24" i="22"/>
  <c r="AS25" i="22"/>
  <c r="AQ5" i="22"/>
  <c r="AQ6" i="22"/>
  <c r="AQ7" i="22"/>
  <c r="AQ8" i="22"/>
  <c r="AQ9" i="22"/>
  <c r="AQ10" i="22"/>
  <c r="AQ11" i="22"/>
  <c r="AQ12" i="22"/>
  <c r="AQ13" i="22"/>
  <c r="AQ14" i="22"/>
  <c r="AQ15" i="22"/>
  <c r="AQ16" i="22"/>
  <c r="AQ17" i="22"/>
  <c r="AQ18" i="22"/>
  <c r="AQ19" i="22"/>
  <c r="AQ20" i="22"/>
  <c r="AQ21" i="22"/>
  <c r="AQ22" i="22"/>
  <c r="AQ23" i="22"/>
  <c r="AQ24" i="22"/>
  <c r="AQ25" i="22"/>
  <c r="AO5" i="22"/>
  <c r="AO6" i="22"/>
  <c r="AO7" i="22"/>
  <c r="AO8" i="22"/>
  <c r="AO9" i="22"/>
  <c r="AO10" i="22"/>
  <c r="AO11" i="22"/>
  <c r="AO12" i="22"/>
  <c r="AO13" i="22"/>
  <c r="AO14" i="22"/>
  <c r="AO15" i="22"/>
  <c r="AO16" i="22"/>
  <c r="AO17" i="22"/>
  <c r="AO18" i="22"/>
  <c r="AO19" i="22"/>
  <c r="AO20" i="22"/>
  <c r="AO21" i="22"/>
  <c r="AO22" i="22"/>
  <c r="AO23" i="22"/>
  <c r="AO24" i="22"/>
  <c r="AO25" i="22"/>
  <c r="AO4" i="22"/>
  <c r="AS4" i="22"/>
  <c r="AQ4" i="22"/>
  <c r="AR26" i="22"/>
  <c r="AP26" i="22"/>
  <c r="AN26" i="22"/>
  <c r="AU25" i="22"/>
  <c r="AU24" i="22"/>
  <c r="AU23" i="22"/>
  <c r="AU22" i="22"/>
  <c r="AU21" i="22"/>
  <c r="AU20" i="22"/>
  <c r="AU19" i="22"/>
  <c r="AU18" i="22"/>
  <c r="AU17" i="22"/>
  <c r="AU16" i="22"/>
  <c r="AU15" i="22"/>
  <c r="AU14" i="22"/>
  <c r="AU13" i="22"/>
  <c r="AU12" i="22"/>
  <c r="AU11" i="22"/>
  <c r="AU10" i="22"/>
  <c r="AU9" i="22"/>
  <c r="AU8" i="22"/>
  <c r="AU7" i="22"/>
  <c r="AU6" i="22"/>
  <c r="AU5" i="22"/>
  <c r="AU4" i="22"/>
  <c r="J26" i="22"/>
  <c r="G26" i="22"/>
  <c r="AA26" i="22" s="1"/>
  <c r="AF26" i="22" s="1"/>
  <c r="AH26" i="22" s="1"/>
  <c r="AI26" i="22" s="1"/>
  <c r="I25" i="22"/>
  <c r="K25" i="22" s="1"/>
  <c r="E25" i="22"/>
  <c r="D25" i="22"/>
  <c r="C25" i="22"/>
  <c r="I24" i="22"/>
  <c r="K24" i="22" s="1"/>
  <c r="E24" i="22"/>
  <c r="D24" i="22"/>
  <c r="C24" i="22"/>
  <c r="I23" i="22"/>
  <c r="K23" i="22" s="1"/>
  <c r="E23" i="22"/>
  <c r="D23" i="22"/>
  <c r="C23" i="22"/>
  <c r="E22" i="22"/>
  <c r="C22" i="22"/>
  <c r="I21" i="22"/>
  <c r="S21" i="22" s="1"/>
  <c r="U21" i="22" s="1"/>
  <c r="E21" i="22"/>
  <c r="C21" i="22"/>
  <c r="I20" i="22"/>
  <c r="S20" i="22" s="1"/>
  <c r="U20" i="22" s="1"/>
  <c r="E20" i="22"/>
  <c r="D20" i="22"/>
  <c r="C20" i="22"/>
  <c r="I19" i="22"/>
  <c r="S19" i="22" s="1"/>
  <c r="U19" i="22" s="1"/>
  <c r="E19" i="22"/>
  <c r="D19" i="22"/>
  <c r="C19" i="22"/>
  <c r="I18" i="22"/>
  <c r="S18" i="22" s="1"/>
  <c r="U18" i="22" s="1"/>
  <c r="E18" i="22"/>
  <c r="D18" i="22"/>
  <c r="C18" i="22"/>
  <c r="I17" i="22"/>
  <c r="S17" i="22" s="1"/>
  <c r="U17" i="22" s="1"/>
  <c r="E17" i="22"/>
  <c r="D17" i="22"/>
  <c r="C17" i="22"/>
  <c r="I16" i="22"/>
  <c r="S16" i="22" s="1"/>
  <c r="U16" i="22" s="1"/>
  <c r="E16" i="22"/>
  <c r="D16" i="22"/>
  <c r="C16" i="22"/>
  <c r="I15" i="22"/>
  <c r="S15" i="22" s="1"/>
  <c r="U15" i="22" s="1"/>
  <c r="E15" i="22"/>
  <c r="D15" i="22"/>
  <c r="C15" i="22"/>
  <c r="I14" i="22"/>
  <c r="S14" i="22" s="1"/>
  <c r="U14" i="22" s="1"/>
  <c r="E14" i="22"/>
  <c r="D14" i="22"/>
  <c r="C14" i="22"/>
  <c r="I13" i="22"/>
  <c r="S13" i="22" s="1"/>
  <c r="U13" i="22" s="1"/>
  <c r="E13" i="22"/>
  <c r="D13" i="22"/>
  <c r="C13" i="22"/>
  <c r="I12" i="22"/>
  <c r="E12" i="22"/>
  <c r="D12" i="22"/>
  <c r="C12" i="22"/>
  <c r="I11" i="22"/>
  <c r="S11" i="22" s="1"/>
  <c r="U11" i="22" s="1"/>
  <c r="E11" i="22"/>
  <c r="D11" i="22"/>
  <c r="C11" i="22"/>
  <c r="I10" i="22"/>
  <c r="S10" i="22" s="1"/>
  <c r="U10" i="22" s="1"/>
  <c r="E10" i="22"/>
  <c r="D10" i="22"/>
  <c r="C10" i="22"/>
  <c r="I9" i="22"/>
  <c r="S9" i="22" s="1"/>
  <c r="U9" i="22" s="1"/>
  <c r="E9" i="22"/>
  <c r="D9" i="22"/>
  <c r="C9" i="22"/>
  <c r="I8" i="22"/>
  <c r="S8" i="22" s="1"/>
  <c r="U8" i="22" s="1"/>
  <c r="E8" i="22"/>
  <c r="D8" i="22"/>
  <c r="C8" i="22"/>
  <c r="I7" i="22"/>
  <c r="S7" i="22" s="1"/>
  <c r="U7" i="22" s="1"/>
  <c r="E7" i="22"/>
  <c r="D7" i="22"/>
  <c r="C7" i="22"/>
  <c r="I6" i="22"/>
  <c r="S6" i="22" s="1"/>
  <c r="U6" i="22" s="1"/>
  <c r="E6" i="22"/>
  <c r="D6" i="22"/>
  <c r="C6" i="22"/>
  <c r="I5" i="22"/>
  <c r="S5" i="22" s="1"/>
  <c r="U5" i="22" s="1"/>
  <c r="E5" i="22"/>
  <c r="D5" i="22"/>
  <c r="C5" i="22"/>
  <c r="I4" i="22"/>
  <c r="S4" i="22" s="1"/>
  <c r="U4" i="22" s="1"/>
  <c r="E4" i="22"/>
  <c r="D4" i="22"/>
  <c r="C4" i="22"/>
  <c r="K12" i="22" l="1"/>
  <c r="S12" i="22"/>
  <c r="U12" i="22" s="1"/>
  <c r="J28" i="22"/>
  <c r="M26" i="22"/>
  <c r="AT5" i="22"/>
  <c r="K10" i="22"/>
  <c r="K13" i="22"/>
  <c r="K14" i="22"/>
  <c r="K16" i="22"/>
  <c r="K17" i="22"/>
  <c r="K18" i="22"/>
  <c r="K19" i="22"/>
  <c r="K5" i="22"/>
  <c r="K6" i="22"/>
  <c r="K7" i="22"/>
  <c r="K8" i="22"/>
  <c r="K9" i="22"/>
  <c r="K11" i="22"/>
  <c r="K21" i="22"/>
  <c r="AT7" i="22"/>
  <c r="K15" i="22"/>
  <c r="K20" i="22"/>
  <c r="AQ26" i="22"/>
  <c r="AO26" i="22"/>
  <c r="AS26" i="22"/>
  <c r="AT4" i="22"/>
  <c r="AT6" i="22"/>
  <c r="AT8" i="22"/>
  <c r="AT9" i="22"/>
  <c r="AT10" i="22"/>
  <c r="AT11" i="22"/>
  <c r="AT12" i="22"/>
  <c r="AT13" i="22"/>
  <c r="AT14" i="22"/>
  <c r="AT15" i="22"/>
  <c r="AT16" i="22"/>
  <c r="AT17" i="22"/>
  <c r="AT18" i="22"/>
  <c r="AT19" i="22"/>
  <c r="AT20" i="22"/>
  <c r="AT21" i="22"/>
  <c r="AT22" i="22"/>
  <c r="AT23" i="22"/>
  <c r="AT24" i="22"/>
  <c r="AT25" i="22"/>
  <c r="AU26" i="22"/>
  <c r="I26" i="22"/>
  <c r="O26" i="22" s="1"/>
  <c r="K4" i="22"/>
  <c r="AV22" i="22"/>
  <c r="AW22" i="22" s="1"/>
  <c r="J27" i="22"/>
  <c r="AV15" i="22"/>
  <c r="AW15" i="22" s="1"/>
  <c r="AV16" i="22"/>
  <c r="AW16" i="22" s="1"/>
  <c r="AV20" i="22"/>
  <c r="AW20" i="22" s="1"/>
  <c r="S26" i="22" l="1"/>
  <c r="U26" i="22" s="1"/>
  <c r="AV12" i="22"/>
  <c r="AW12" i="22" s="1"/>
  <c r="AV5" i="22"/>
  <c r="AW5" i="22" s="1"/>
  <c r="AV24" i="22"/>
  <c r="AW24" i="22" s="1"/>
  <c r="AV17" i="22"/>
  <c r="AW17" i="22" s="1"/>
  <c r="AV13" i="22"/>
  <c r="AW13" i="22" s="1"/>
  <c r="K26" i="22"/>
  <c r="K27" i="22" s="1"/>
  <c r="AV25" i="22"/>
  <c r="AW25" i="22" s="1"/>
  <c r="AV23" i="22"/>
  <c r="AW23" i="22" s="1"/>
  <c r="AV21" i="22"/>
  <c r="AW21" i="22" s="1"/>
  <c r="AV19" i="22"/>
  <c r="AW19" i="22" s="1"/>
  <c r="AV18" i="22"/>
  <c r="AW18" i="22" s="1"/>
  <c r="AV14" i="22"/>
  <c r="AW14" i="22" s="1"/>
  <c r="AV10" i="22"/>
  <c r="AW10" i="22" s="1"/>
  <c r="AV6" i="22"/>
  <c r="AW6" i="22" s="1"/>
  <c r="AV4" i="22"/>
  <c r="AW4" i="22" s="1"/>
  <c r="AV9" i="22"/>
  <c r="AW9" i="22" s="1"/>
  <c r="AV11" i="22"/>
  <c r="AW11" i="22" s="1"/>
  <c r="AV8" i="22"/>
  <c r="AW8" i="22" s="1"/>
  <c r="AV7" i="22"/>
  <c r="AW7" i="22" s="1"/>
  <c r="AT26" i="22"/>
  <c r="I28" i="22"/>
  <c r="I27" i="22"/>
  <c r="K28" i="22"/>
  <c r="AV26" i="22" l="1"/>
  <c r="AW26" i="22" s="1"/>
  <c r="D61" i="18"/>
  <c r="D60" i="18"/>
  <c r="H60" i="18" s="1"/>
  <c r="D59" i="18"/>
  <c r="D58" i="18"/>
  <c r="H58" i="18" s="1"/>
  <c r="D57" i="18"/>
  <c r="D56" i="18"/>
  <c r="D55" i="18"/>
  <c r="D54" i="18"/>
  <c r="D53" i="18"/>
  <c r="D52" i="18"/>
  <c r="D51" i="18"/>
  <c r="D50" i="18"/>
  <c r="D49" i="18"/>
  <c r="D48" i="18"/>
  <c r="H48" i="18" s="1"/>
  <c r="D47" i="18"/>
  <c r="D46" i="18"/>
  <c r="D45" i="18"/>
  <c r="D44" i="18"/>
  <c r="Q49" i="18"/>
  <c r="Q48" i="18"/>
  <c r="Q47" i="18"/>
  <c r="Q46" i="18"/>
  <c r="Q45" i="18"/>
  <c r="Q44" i="18"/>
  <c r="P49" i="18"/>
  <c r="R49" i="18" s="1"/>
  <c r="F61" i="18" s="1"/>
  <c r="C73" i="18" s="1"/>
  <c r="P48" i="18"/>
  <c r="P47" i="18"/>
  <c r="P46" i="18"/>
  <c r="P45" i="18"/>
  <c r="P44" i="18"/>
  <c r="H56" i="18"/>
  <c r="M46" i="18" s="1"/>
  <c r="H44" i="18"/>
  <c r="H61" i="18"/>
  <c r="M49" i="18" s="1"/>
  <c r="A73" i="18"/>
  <c r="A72" i="18"/>
  <c r="H59" i="18"/>
  <c r="H57" i="18"/>
  <c r="A71" i="18"/>
  <c r="A70" i="18"/>
  <c r="H55" i="18"/>
  <c r="H54" i="18"/>
  <c r="H53" i="18"/>
  <c r="H52" i="18"/>
  <c r="H51" i="18"/>
  <c r="H50" i="18"/>
  <c r="H49" i="18"/>
  <c r="M45" i="18" s="1"/>
  <c r="A69" i="18"/>
  <c r="H47" i="18"/>
  <c r="H46" i="18"/>
  <c r="H45" i="18"/>
  <c r="O44" i="18"/>
  <c r="B68" i="18" s="1"/>
  <c r="W50" i="20" s="1"/>
  <c r="E44" i="18"/>
  <c r="A68" i="18"/>
  <c r="Q13" i="18"/>
  <c r="Q12" i="18"/>
  <c r="Q11" i="18"/>
  <c r="Q10" i="18"/>
  <c r="Q9" i="18"/>
  <c r="Q8" i="18"/>
  <c r="P13" i="18"/>
  <c r="P12" i="18"/>
  <c r="P11" i="18"/>
  <c r="P10" i="18"/>
  <c r="P9" i="18"/>
  <c r="P8" i="18"/>
  <c r="S46" i="17"/>
  <c r="S45" i="17"/>
  <c r="S44" i="17"/>
  <c r="S43" i="17"/>
  <c r="S42" i="17"/>
  <c r="S41" i="17"/>
  <c r="R46" i="17"/>
  <c r="R45" i="17"/>
  <c r="R44" i="17"/>
  <c r="R43" i="17"/>
  <c r="R42" i="17"/>
  <c r="R41" i="17"/>
  <c r="A66" i="17"/>
  <c r="A65" i="17"/>
  <c r="A64" i="17"/>
  <c r="A63" i="17"/>
  <c r="A62" i="17"/>
  <c r="T46" i="17"/>
  <c r="F54" i="17" s="1"/>
  <c r="C66" i="17" s="1"/>
  <c r="T44" i="17"/>
  <c r="F50" i="17" s="1"/>
  <c r="C64" i="17" s="1"/>
  <c r="T43" i="17"/>
  <c r="F49" i="17" s="1"/>
  <c r="C63" i="17" s="1"/>
  <c r="R47" i="17"/>
  <c r="S47" i="17"/>
  <c r="A61" i="17"/>
  <c r="S13" i="17"/>
  <c r="S12" i="17"/>
  <c r="S11" i="17"/>
  <c r="S10" i="17"/>
  <c r="S9" i="17"/>
  <c r="S8" i="17"/>
  <c r="R13" i="17"/>
  <c r="R12" i="17"/>
  <c r="R11" i="17"/>
  <c r="R10" i="17"/>
  <c r="R9" i="17"/>
  <c r="R8" i="17"/>
  <c r="S66" i="16"/>
  <c r="S65" i="16"/>
  <c r="S64" i="16"/>
  <c r="S63" i="16"/>
  <c r="S62" i="16"/>
  <c r="S61" i="16"/>
  <c r="S60" i="16"/>
  <c r="R66" i="16"/>
  <c r="R65" i="16"/>
  <c r="R64" i="16"/>
  <c r="R63" i="16"/>
  <c r="R62" i="16"/>
  <c r="R61" i="16"/>
  <c r="R60" i="16"/>
  <c r="S67" i="16"/>
  <c r="R67" i="16"/>
  <c r="T66" i="16"/>
  <c r="F74" i="16" s="1"/>
  <c r="C88" i="16" s="1"/>
  <c r="T65" i="16"/>
  <c r="F73" i="16" s="1"/>
  <c r="C87" i="16" s="1"/>
  <c r="T64" i="16"/>
  <c r="F70" i="16" s="1"/>
  <c r="C86" i="16" s="1"/>
  <c r="T63" i="16"/>
  <c r="F69" i="16" s="1"/>
  <c r="C85" i="16" s="1"/>
  <c r="T62" i="16"/>
  <c r="F63" i="16" s="1"/>
  <c r="C84" i="16" s="1"/>
  <c r="T61" i="16"/>
  <c r="F62" i="16" s="1"/>
  <c r="C83" i="16" s="1"/>
  <c r="T60" i="16"/>
  <c r="F60" i="16" s="1"/>
  <c r="C82" i="16" s="1"/>
  <c r="S14" i="16"/>
  <c r="S13" i="16"/>
  <c r="S12" i="16"/>
  <c r="S11" i="16"/>
  <c r="S10" i="16"/>
  <c r="S9" i="16"/>
  <c r="S8" i="16"/>
  <c r="R14" i="16"/>
  <c r="R13" i="16"/>
  <c r="R12" i="16"/>
  <c r="R11" i="16"/>
  <c r="R10" i="16"/>
  <c r="R9" i="16"/>
  <c r="R8" i="16"/>
  <c r="A89" i="16"/>
  <c r="D78" i="16"/>
  <c r="J78" i="16" s="1"/>
  <c r="D77" i="16"/>
  <c r="J77" i="16" s="1"/>
  <c r="D76" i="16"/>
  <c r="J76" i="16" s="1"/>
  <c r="O67" i="16" s="1"/>
  <c r="D75" i="16"/>
  <c r="J75" i="16" s="1"/>
  <c r="D74" i="16"/>
  <c r="J74" i="16" s="1"/>
  <c r="N66" i="16" s="1"/>
  <c r="A88" i="16"/>
  <c r="D73" i="16"/>
  <c r="J73" i="16" s="1"/>
  <c r="A87" i="16"/>
  <c r="D72" i="16"/>
  <c r="J72" i="16" s="1"/>
  <c r="D71" i="16"/>
  <c r="J71" i="16" s="1"/>
  <c r="D70" i="16"/>
  <c r="J70" i="16" s="1"/>
  <c r="O64" i="16" s="1"/>
  <c r="A86" i="16"/>
  <c r="D69" i="16"/>
  <c r="J69" i="16" s="1"/>
  <c r="A85" i="16"/>
  <c r="D68" i="16"/>
  <c r="J68" i="16" s="1"/>
  <c r="D67" i="16"/>
  <c r="J67" i="16" s="1"/>
  <c r="D66" i="16"/>
  <c r="J66" i="16" s="1"/>
  <c r="D65" i="16"/>
  <c r="J65" i="16" s="1"/>
  <c r="D64" i="16"/>
  <c r="J64" i="16" s="1"/>
  <c r="O62" i="16" s="1"/>
  <c r="D63" i="16"/>
  <c r="J63" i="16" s="1"/>
  <c r="A84" i="16"/>
  <c r="D62" i="16"/>
  <c r="J62" i="16" s="1"/>
  <c r="A83" i="16"/>
  <c r="D61" i="16"/>
  <c r="J61" i="16" s="1"/>
  <c r="D60" i="16"/>
  <c r="J60" i="16" s="1"/>
  <c r="A82" i="16"/>
  <c r="A112" i="8"/>
  <c r="A111" i="8"/>
  <c r="S69" i="8"/>
  <c r="S68" i="8"/>
  <c r="S67" i="8"/>
  <c r="S66" i="8"/>
  <c r="S65" i="8"/>
  <c r="S64" i="8"/>
  <c r="S63" i="8"/>
  <c r="S62" i="8"/>
  <c r="S61" i="8"/>
  <c r="R69" i="8"/>
  <c r="R68" i="8"/>
  <c r="R64" i="8"/>
  <c r="R63" i="8"/>
  <c r="R62" i="8"/>
  <c r="R61" i="8"/>
  <c r="S16" i="8"/>
  <c r="S15" i="8"/>
  <c r="S14" i="8"/>
  <c r="S13" i="8"/>
  <c r="S12" i="8"/>
  <c r="S11" i="8"/>
  <c r="S10" i="8"/>
  <c r="S9" i="8"/>
  <c r="S8" i="8"/>
  <c r="R16" i="8"/>
  <c r="R15" i="8"/>
  <c r="R11" i="8"/>
  <c r="R10" i="8"/>
  <c r="R9" i="8"/>
  <c r="R8" i="8"/>
  <c r="A114" i="8"/>
  <c r="A113" i="8"/>
  <c r="A110" i="8"/>
  <c r="A109" i="8"/>
  <c r="A108" i="8"/>
  <c r="A107" i="8"/>
  <c r="A106" i="8"/>
  <c r="AD75" i="7"/>
  <c r="AD74" i="7"/>
  <c r="AD73" i="7"/>
  <c r="AD72" i="7"/>
  <c r="AD71" i="7"/>
  <c r="AD70" i="7"/>
  <c r="AD69" i="7"/>
  <c r="AC75" i="7"/>
  <c r="AC74" i="7"/>
  <c r="AC73" i="7"/>
  <c r="AC72" i="7"/>
  <c r="AC71" i="7"/>
  <c r="AC70" i="7"/>
  <c r="AC69" i="7"/>
  <c r="AD14" i="7"/>
  <c r="AD13" i="7"/>
  <c r="AD12" i="7"/>
  <c r="AD11" i="7"/>
  <c r="AD10" i="7"/>
  <c r="AD9" i="7"/>
  <c r="AD8" i="7"/>
  <c r="AC14" i="7"/>
  <c r="AC13" i="7"/>
  <c r="AC12" i="7"/>
  <c r="AC11" i="7"/>
  <c r="AC10" i="7"/>
  <c r="AC9" i="7"/>
  <c r="AC8" i="7"/>
  <c r="AE71" i="7"/>
  <c r="F73" i="7" s="1"/>
  <c r="C95" i="7" s="1"/>
  <c r="D85" i="7"/>
  <c r="U85" i="7" s="1"/>
  <c r="D86" i="7"/>
  <c r="U86" i="7" s="1"/>
  <c r="D87" i="7"/>
  <c r="U87" i="7" s="1"/>
  <c r="D88" i="7"/>
  <c r="U88" i="7" s="1"/>
  <c r="D84" i="7"/>
  <c r="U84" i="7" s="1"/>
  <c r="D27" i="7"/>
  <c r="D26" i="7"/>
  <c r="D25" i="7"/>
  <c r="D70" i="7"/>
  <c r="U70" i="7" s="1"/>
  <c r="D71" i="7"/>
  <c r="U71" i="7" s="1"/>
  <c r="D72" i="7"/>
  <c r="U72" i="7" s="1"/>
  <c r="D73" i="7"/>
  <c r="U73" i="7" s="1"/>
  <c r="D74" i="7"/>
  <c r="U74" i="7" s="1"/>
  <c r="D75" i="7"/>
  <c r="U75" i="7" s="1"/>
  <c r="D76" i="7"/>
  <c r="U76" i="7" s="1"/>
  <c r="D77" i="7"/>
  <c r="U77" i="7" s="1"/>
  <c r="D78" i="7"/>
  <c r="U78" i="7" s="1"/>
  <c r="D79" i="7"/>
  <c r="U79" i="7" s="1"/>
  <c r="D80" i="7"/>
  <c r="U80" i="7" s="1"/>
  <c r="D81" i="7"/>
  <c r="U81" i="7" s="1"/>
  <c r="D82" i="7"/>
  <c r="U82" i="7" s="1"/>
  <c r="D83" i="7"/>
  <c r="U83" i="7" s="1"/>
  <c r="D69" i="7"/>
  <c r="U69" i="7" s="1"/>
  <c r="A99" i="7"/>
  <c r="A98" i="7"/>
  <c r="A97" i="7"/>
  <c r="A96" i="7"/>
  <c r="A95" i="7"/>
  <c r="A94" i="7"/>
  <c r="A93" i="7"/>
  <c r="U50" i="20"/>
  <c r="AM131" i="1"/>
  <c r="AM139" i="1"/>
  <c r="AK109" i="1"/>
  <c r="AM109" i="1"/>
  <c r="AK33" i="1"/>
  <c r="AL33" i="1"/>
  <c r="AN33" i="1"/>
  <c r="AP33" i="1"/>
  <c r="AR33" i="1"/>
  <c r="AK34" i="1"/>
  <c r="AL34" i="1"/>
  <c r="AM34" i="1"/>
  <c r="AN34" i="1"/>
  <c r="AP34" i="1"/>
  <c r="AR34" i="1"/>
  <c r="AK35" i="1"/>
  <c r="AL35" i="1"/>
  <c r="AU35" i="1" s="1"/>
  <c r="AN35" i="1"/>
  <c r="AP35" i="1"/>
  <c r="AR35" i="1"/>
  <c r="AK36" i="1"/>
  <c r="AL36" i="1"/>
  <c r="AN36" i="1"/>
  <c r="AP36" i="1"/>
  <c r="AR36" i="1"/>
  <c r="AK37" i="1"/>
  <c r="AL37" i="1"/>
  <c r="AN37" i="1"/>
  <c r="AP37" i="1"/>
  <c r="AR37" i="1"/>
  <c r="AK38" i="1"/>
  <c r="AL38" i="1"/>
  <c r="AN38" i="1"/>
  <c r="AP38" i="1"/>
  <c r="AR38" i="1"/>
  <c r="AK39" i="1"/>
  <c r="AL39" i="1"/>
  <c r="AU39" i="1" s="1"/>
  <c r="AN39" i="1"/>
  <c r="AP39" i="1"/>
  <c r="AR39" i="1"/>
  <c r="AK40" i="1"/>
  <c r="AL40" i="1"/>
  <c r="AN40" i="1"/>
  <c r="AP40" i="1"/>
  <c r="AR40" i="1"/>
  <c r="AK41" i="1"/>
  <c r="AL41" i="1"/>
  <c r="AU41" i="1" s="1"/>
  <c r="AN41" i="1"/>
  <c r="AP41" i="1"/>
  <c r="AR41" i="1"/>
  <c r="AK42" i="1"/>
  <c r="AL42" i="1"/>
  <c r="AN42" i="1"/>
  <c r="AP42" i="1"/>
  <c r="AR42" i="1"/>
  <c r="AK43" i="1"/>
  <c r="AL43" i="1"/>
  <c r="AU43" i="1" s="1"/>
  <c r="AN43" i="1"/>
  <c r="AP43" i="1"/>
  <c r="AR43" i="1"/>
  <c r="AK44" i="1"/>
  <c r="AL44" i="1"/>
  <c r="AN44" i="1"/>
  <c r="AP44" i="1"/>
  <c r="AR44" i="1"/>
  <c r="AK45" i="1"/>
  <c r="AL45" i="1"/>
  <c r="AU45" i="1" s="1"/>
  <c r="AN45" i="1"/>
  <c r="AP45" i="1"/>
  <c r="AR45" i="1"/>
  <c r="AK46" i="1"/>
  <c r="AL46" i="1"/>
  <c r="AN46" i="1"/>
  <c r="AP46" i="1"/>
  <c r="AR46" i="1"/>
  <c r="AK47" i="1"/>
  <c r="AL47" i="1"/>
  <c r="AU47" i="1" s="1"/>
  <c r="AN47" i="1"/>
  <c r="AP47" i="1"/>
  <c r="AR47" i="1"/>
  <c r="AK48" i="1"/>
  <c r="AL48" i="1"/>
  <c r="AN48" i="1"/>
  <c r="AP48" i="1"/>
  <c r="AR48" i="1"/>
  <c r="AK49" i="1"/>
  <c r="AL49" i="1"/>
  <c r="AU49" i="1" s="1"/>
  <c r="AN49" i="1"/>
  <c r="AP49" i="1"/>
  <c r="AR49" i="1"/>
  <c r="AK50" i="1"/>
  <c r="AL50" i="1"/>
  <c r="AN50" i="1"/>
  <c r="AP50" i="1"/>
  <c r="AR50" i="1"/>
  <c r="AK51" i="1"/>
  <c r="AL51" i="1"/>
  <c r="AN51" i="1"/>
  <c r="AP51" i="1"/>
  <c r="AR51" i="1"/>
  <c r="AK52" i="1"/>
  <c r="AL52" i="1"/>
  <c r="AN52" i="1"/>
  <c r="AP52" i="1"/>
  <c r="AR52" i="1"/>
  <c r="AK53" i="1"/>
  <c r="AL53" i="1"/>
  <c r="AU53" i="1" s="1"/>
  <c r="AN53" i="1"/>
  <c r="AP53" i="1"/>
  <c r="AR53" i="1"/>
  <c r="AL54" i="1"/>
  <c r="AN54" i="1"/>
  <c r="AP54" i="1"/>
  <c r="AR54" i="1"/>
  <c r="AK55" i="1"/>
  <c r="AL55" i="1"/>
  <c r="AN55" i="1"/>
  <c r="AP55" i="1"/>
  <c r="AR55" i="1"/>
  <c r="AL56" i="1"/>
  <c r="AN56" i="1"/>
  <c r="AP56" i="1"/>
  <c r="AR56" i="1"/>
  <c r="AL57" i="1"/>
  <c r="AN57" i="1"/>
  <c r="AP57" i="1"/>
  <c r="AR57" i="1"/>
  <c r="AL58" i="1"/>
  <c r="AN58" i="1"/>
  <c r="AP58" i="1"/>
  <c r="AR58" i="1"/>
  <c r="AK59" i="1"/>
  <c r="AL59" i="1"/>
  <c r="AN59" i="1"/>
  <c r="AP59" i="1"/>
  <c r="AR59" i="1"/>
  <c r="AL60" i="1"/>
  <c r="AN60" i="1"/>
  <c r="AP60" i="1"/>
  <c r="AR60" i="1"/>
  <c r="AK61" i="1"/>
  <c r="AL61" i="1"/>
  <c r="AN61" i="1"/>
  <c r="AP61" i="1"/>
  <c r="AR61" i="1"/>
  <c r="AK62" i="1"/>
  <c r="AL62" i="1"/>
  <c r="AN62" i="1"/>
  <c r="AP62" i="1"/>
  <c r="AR62" i="1"/>
  <c r="AK63" i="1"/>
  <c r="AL63" i="1"/>
  <c r="AN63" i="1"/>
  <c r="AP63" i="1"/>
  <c r="AR63" i="1"/>
  <c r="AK64" i="1"/>
  <c r="AL64" i="1"/>
  <c r="AN64" i="1"/>
  <c r="AP64" i="1"/>
  <c r="AR64" i="1"/>
  <c r="AK65" i="1"/>
  <c r="AL65" i="1"/>
  <c r="AN65" i="1"/>
  <c r="AP65" i="1"/>
  <c r="AR65" i="1"/>
  <c r="AK66" i="1"/>
  <c r="AL66" i="1"/>
  <c r="AN66" i="1"/>
  <c r="AP66" i="1"/>
  <c r="AR66" i="1"/>
  <c r="AT66" i="1"/>
  <c r="AK67" i="1"/>
  <c r="AL67" i="1"/>
  <c r="AU67" i="1" s="1"/>
  <c r="AN67" i="1"/>
  <c r="AP67" i="1"/>
  <c r="AR67" i="1"/>
  <c r="AT67" i="1"/>
  <c r="AK68" i="1"/>
  <c r="AL68" i="1"/>
  <c r="AN68" i="1"/>
  <c r="AP68" i="1"/>
  <c r="AR68" i="1"/>
  <c r="AT68" i="1"/>
  <c r="AX33" i="1"/>
  <c r="AX34" i="1"/>
  <c r="AX35" i="1"/>
  <c r="AX36" i="1"/>
  <c r="AX37" i="1"/>
  <c r="AX38" i="1"/>
  <c r="AX39" i="1"/>
  <c r="AX40" i="1"/>
  <c r="AX41" i="1"/>
  <c r="AX42" i="1"/>
  <c r="AX43" i="1"/>
  <c r="AX44" i="1"/>
  <c r="AX45" i="1"/>
  <c r="AX46" i="1"/>
  <c r="AX47" i="1"/>
  <c r="AX48" i="1"/>
  <c r="AX49" i="1"/>
  <c r="AX50" i="1"/>
  <c r="AX51" i="1"/>
  <c r="AX52" i="1"/>
  <c r="AX53" i="1"/>
  <c r="AX54" i="1"/>
  <c r="AX55" i="1"/>
  <c r="AX56" i="1"/>
  <c r="AX57" i="1"/>
  <c r="AX58" i="1"/>
  <c r="AX59" i="1"/>
  <c r="AX60" i="1"/>
  <c r="AX61" i="1"/>
  <c r="AX62" i="1"/>
  <c r="AX63" i="1"/>
  <c r="AX64" i="1"/>
  <c r="AX65" i="1"/>
  <c r="AX66" i="1"/>
  <c r="AX67" i="1"/>
  <c r="AX68" i="1"/>
  <c r="AX32" i="1"/>
  <c r="AR32" i="1"/>
  <c r="AP32" i="1"/>
  <c r="AN32" i="1"/>
  <c r="AL32" i="1"/>
  <c r="S14" i="20" s="1"/>
  <c r="AK32" i="1"/>
  <c r="AX144" i="1"/>
  <c r="AR144" i="1"/>
  <c r="AP144" i="1"/>
  <c r="AN144" i="1"/>
  <c r="AL144" i="1"/>
  <c r="AK144" i="1"/>
  <c r="R55" i="20" s="1"/>
  <c r="AX143" i="1"/>
  <c r="AR143" i="1"/>
  <c r="AP143" i="1"/>
  <c r="AN143" i="1"/>
  <c r="AL143" i="1"/>
  <c r="AK143" i="1"/>
  <c r="R54" i="20" s="1"/>
  <c r="AX142" i="1"/>
  <c r="AR142" i="1"/>
  <c r="AP142" i="1"/>
  <c r="AN142" i="1"/>
  <c r="AL142" i="1"/>
  <c r="AK142" i="1"/>
  <c r="AX141" i="1"/>
  <c r="AR141" i="1"/>
  <c r="AP141" i="1"/>
  <c r="AN141" i="1"/>
  <c r="AL141" i="1"/>
  <c r="AU141" i="1" s="1"/>
  <c r="AK141" i="1"/>
  <c r="AX140" i="1"/>
  <c r="AT140" i="1"/>
  <c r="AR140" i="1"/>
  <c r="AP140" i="1"/>
  <c r="AN140" i="1"/>
  <c r="AL140" i="1"/>
  <c r="AK140" i="1"/>
  <c r="AX139" i="1"/>
  <c r="AR139" i="1"/>
  <c r="AP139" i="1"/>
  <c r="AN139" i="1"/>
  <c r="AL139" i="1"/>
  <c r="AK139" i="1"/>
  <c r="AX138" i="1"/>
  <c r="AT138" i="1"/>
  <c r="AR138" i="1"/>
  <c r="AP138" i="1"/>
  <c r="AN138" i="1"/>
  <c r="AL138" i="1"/>
  <c r="AK138" i="1"/>
  <c r="R52" i="20" s="1"/>
  <c r="AX137" i="1"/>
  <c r="AS137" i="1"/>
  <c r="AR137" i="1"/>
  <c r="AP137" i="1"/>
  <c r="AN137" i="1"/>
  <c r="AL137" i="1"/>
  <c r="AK137" i="1"/>
  <c r="AX136" i="1"/>
  <c r="AR136" i="1"/>
  <c r="AP136" i="1"/>
  <c r="AN136" i="1"/>
  <c r="AL136" i="1"/>
  <c r="AK136" i="1"/>
  <c r="AX135" i="1"/>
  <c r="AR135" i="1"/>
  <c r="AP135" i="1"/>
  <c r="AN135" i="1"/>
  <c r="AL135" i="1"/>
  <c r="AU135" i="1" s="1"/>
  <c r="AK135" i="1"/>
  <c r="AX134" i="1"/>
  <c r="AT134" i="1"/>
  <c r="AR134" i="1"/>
  <c r="AP134" i="1"/>
  <c r="AN134" i="1"/>
  <c r="AL134" i="1"/>
  <c r="AK134" i="1"/>
  <c r="AX133" i="1"/>
  <c r="AR133" i="1"/>
  <c r="AP133" i="1"/>
  <c r="AN133" i="1"/>
  <c r="AL133" i="1"/>
  <c r="AK133" i="1"/>
  <c r="AX132" i="1"/>
  <c r="AR132" i="1"/>
  <c r="AP132" i="1"/>
  <c r="AN132" i="1"/>
  <c r="AL132" i="1"/>
  <c r="AK132" i="1"/>
  <c r="AX131" i="1"/>
  <c r="AR131" i="1"/>
  <c r="AP131" i="1"/>
  <c r="AN131" i="1"/>
  <c r="AL131" i="1"/>
  <c r="AK131" i="1"/>
  <c r="AX130" i="1"/>
  <c r="AT130" i="1"/>
  <c r="AR130" i="1"/>
  <c r="AP130" i="1"/>
  <c r="AN130" i="1"/>
  <c r="AL130" i="1"/>
  <c r="AK130" i="1"/>
  <c r="AX129" i="1"/>
  <c r="AT129" i="1"/>
  <c r="AR129" i="1"/>
  <c r="AP129" i="1"/>
  <c r="AN129" i="1"/>
  <c r="AL129" i="1"/>
  <c r="AK129" i="1"/>
  <c r="AX128" i="1"/>
  <c r="AR128" i="1"/>
  <c r="AP128" i="1"/>
  <c r="AN128" i="1"/>
  <c r="AL128" i="1"/>
  <c r="AK128" i="1"/>
  <c r="AX127" i="1"/>
  <c r="AT127" i="1"/>
  <c r="AR127" i="1"/>
  <c r="AP127" i="1"/>
  <c r="AN127" i="1"/>
  <c r="AL127" i="1"/>
  <c r="AU127" i="1" s="1"/>
  <c r="AK127" i="1"/>
  <c r="AX126" i="1"/>
  <c r="AR126" i="1"/>
  <c r="AP126" i="1"/>
  <c r="AN126" i="1"/>
  <c r="AL126" i="1"/>
  <c r="AK126" i="1"/>
  <c r="AX125" i="1"/>
  <c r="AR125" i="1"/>
  <c r="AP125" i="1"/>
  <c r="AN125" i="1"/>
  <c r="AL125" i="1"/>
  <c r="AK125" i="1"/>
  <c r="AX123" i="1"/>
  <c r="AR123" i="1"/>
  <c r="AP123" i="1"/>
  <c r="AN123" i="1"/>
  <c r="AL123" i="1"/>
  <c r="S45" i="20" s="1"/>
  <c r="AK123" i="1"/>
  <c r="AX122" i="1"/>
  <c r="AT122" i="1"/>
  <c r="AR122" i="1"/>
  <c r="AP122" i="1"/>
  <c r="AN122" i="1"/>
  <c r="AL122" i="1"/>
  <c r="AK122" i="1"/>
  <c r="AX121" i="1"/>
  <c r="AR121" i="1"/>
  <c r="AP121" i="1"/>
  <c r="AN121" i="1"/>
  <c r="AL121" i="1"/>
  <c r="AK121" i="1"/>
  <c r="AX120" i="1"/>
  <c r="AW120" i="1"/>
  <c r="AR120" i="1"/>
  <c r="AP120" i="1"/>
  <c r="AN120" i="1"/>
  <c r="AL120" i="1"/>
  <c r="AK120" i="1"/>
  <c r="AX119" i="1"/>
  <c r="AW119" i="1"/>
  <c r="AT119" i="1"/>
  <c r="AR119" i="1"/>
  <c r="AP119" i="1"/>
  <c r="AN119" i="1"/>
  <c r="AL119" i="1"/>
  <c r="AK119" i="1"/>
  <c r="AX118" i="1"/>
  <c r="AW118" i="1"/>
  <c r="AR118" i="1"/>
  <c r="AP118" i="1"/>
  <c r="AN118" i="1"/>
  <c r="AL118" i="1"/>
  <c r="AK118" i="1"/>
  <c r="AX117" i="1"/>
  <c r="AR117" i="1"/>
  <c r="AP117" i="1"/>
  <c r="AN117" i="1"/>
  <c r="AL117" i="1"/>
  <c r="AK117" i="1"/>
  <c r="AX116" i="1"/>
  <c r="AW116" i="1"/>
  <c r="AR116" i="1"/>
  <c r="AP116" i="1"/>
  <c r="AN116" i="1"/>
  <c r="AX115" i="1"/>
  <c r="AR115" i="1"/>
  <c r="AP115" i="1"/>
  <c r="AN115" i="1"/>
  <c r="AL115" i="1"/>
  <c r="S43" i="20" s="1"/>
  <c r="AK115" i="1"/>
  <c r="R43" i="20" s="1"/>
  <c r="AX114" i="1"/>
  <c r="AW114" i="1"/>
  <c r="AR114" i="1"/>
  <c r="AP114" i="1"/>
  <c r="AN114" i="1"/>
  <c r="AX113" i="1"/>
  <c r="AW113" i="1"/>
  <c r="AT113" i="1"/>
  <c r="AR113" i="1"/>
  <c r="AP113" i="1"/>
  <c r="AN113" i="1"/>
  <c r="AX112" i="1"/>
  <c r="AR112" i="1"/>
  <c r="AP112" i="1"/>
  <c r="AN112" i="1"/>
  <c r="AL112" i="1"/>
  <c r="AK112" i="1"/>
  <c r="R42" i="20" s="1"/>
  <c r="AX111" i="1"/>
  <c r="AW111" i="1"/>
  <c r="AX110" i="1"/>
  <c r="AR110" i="1"/>
  <c r="AP110" i="1"/>
  <c r="AN110" i="1"/>
  <c r="AL110" i="1"/>
  <c r="AK110" i="1"/>
  <c r="R41" i="20" s="1"/>
  <c r="AX109" i="1"/>
  <c r="AW109" i="1"/>
  <c r="AT109" i="1"/>
  <c r="AS109" i="1"/>
  <c r="AR109" i="1"/>
  <c r="AQ109" i="1"/>
  <c r="AP109" i="1"/>
  <c r="AO109" i="1"/>
  <c r="AN109" i="1"/>
  <c r="AL109" i="1"/>
  <c r="AX108" i="1"/>
  <c r="AT108" i="1"/>
  <c r="AR108" i="1"/>
  <c r="AP108" i="1"/>
  <c r="AN108" i="1"/>
  <c r="AL108" i="1"/>
  <c r="AK108" i="1"/>
  <c r="AX107" i="1"/>
  <c r="AR107" i="1"/>
  <c r="AP107" i="1"/>
  <c r="AN107" i="1"/>
  <c r="AL107" i="1"/>
  <c r="AK107" i="1"/>
  <c r="AU107" i="1" s="1"/>
  <c r="AX106" i="1"/>
  <c r="AR106" i="1"/>
  <c r="AP106" i="1"/>
  <c r="AN106" i="1"/>
  <c r="AL106" i="1"/>
  <c r="AK106" i="1"/>
  <c r="AX105" i="1"/>
  <c r="AR105" i="1"/>
  <c r="AP105" i="1"/>
  <c r="AN105" i="1"/>
  <c r="AL105" i="1"/>
  <c r="AK105" i="1"/>
  <c r="AX104" i="1"/>
  <c r="AT104" i="1"/>
  <c r="AR104" i="1"/>
  <c r="AP104" i="1"/>
  <c r="AN104" i="1"/>
  <c r="AL104" i="1"/>
  <c r="AK104" i="1"/>
  <c r="AX103" i="1"/>
  <c r="AR103" i="1"/>
  <c r="AP103" i="1"/>
  <c r="AN103" i="1"/>
  <c r="AL103" i="1"/>
  <c r="AK103" i="1"/>
  <c r="AX102" i="1"/>
  <c r="AR102" i="1"/>
  <c r="AP102" i="1"/>
  <c r="AN102" i="1"/>
  <c r="AL102" i="1"/>
  <c r="AK102" i="1"/>
  <c r="AX100" i="1"/>
  <c r="AR100" i="1"/>
  <c r="AP100" i="1"/>
  <c r="AN100" i="1"/>
  <c r="AM100" i="1"/>
  <c r="AL100" i="1"/>
  <c r="AK100" i="1"/>
  <c r="AU100" i="1" s="1"/>
  <c r="AX99" i="1"/>
  <c r="AT99" i="1"/>
  <c r="AR99" i="1"/>
  <c r="AP99" i="1"/>
  <c r="AN99" i="1"/>
  <c r="AL99" i="1"/>
  <c r="AK99" i="1"/>
  <c r="AX98" i="1"/>
  <c r="AR98" i="1"/>
  <c r="AP98" i="1"/>
  <c r="AN98" i="1"/>
  <c r="AL98" i="1"/>
  <c r="AK98" i="1"/>
  <c r="AX97" i="1"/>
  <c r="AR97" i="1"/>
  <c r="AP97" i="1"/>
  <c r="AN97" i="1"/>
  <c r="AL97" i="1"/>
  <c r="AK97" i="1"/>
  <c r="AX96" i="1"/>
  <c r="AR96" i="1"/>
  <c r="AP96" i="1"/>
  <c r="AN96" i="1"/>
  <c r="AM96" i="1"/>
  <c r="AL96" i="1"/>
  <c r="AK96" i="1"/>
  <c r="AU96" i="1" s="1"/>
  <c r="AX95" i="1"/>
  <c r="AT95" i="1"/>
  <c r="AR95" i="1"/>
  <c r="AP95" i="1"/>
  <c r="AN95" i="1"/>
  <c r="AL95" i="1"/>
  <c r="S33" i="20" s="1"/>
  <c r="AK95" i="1"/>
  <c r="AX94" i="1"/>
  <c r="AR94" i="1"/>
  <c r="AP94" i="1"/>
  <c r="AN94" i="1"/>
  <c r="AL94" i="1"/>
  <c r="AK94" i="1"/>
  <c r="AX93" i="1"/>
  <c r="AR93" i="1"/>
  <c r="AP93" i="1"/>
  <c r="AN93" i="1"/>
  <c r="AL93" i="1"/>
  <c r="AK93" i="1"/>
  <c r="AX92" i="1"/>
  <c r="AR92" i="1"/>
  <c r="AP92" i="1"/>
  <c r="AN92" i="1"/>
  <c r="AM92" i="1"/>
  <c r="AL92" i="1"/>
  <c r="AK92" i="1"/>
  <c r="AU92" i="1" s="1"/>
  <c r="AX91" i="1"/>
  <c r="AT91" i="1"/>
  <c r="AR91" i="1"/>
  <c r="AP91" i="1"/>
  <c r="AN91" i="1"/>
  <c r="AL91" i="1"/>
  <c r="S32" i="20" s="1"/>
  <c r="AK91" i="1"/>
  <c r="AT90" i="1"/>
  <c r="AS90" i="1"/>
  <c r="AR90" i="1"/>
  <c r="AQ90" i="1"/>
  <c r="AP90" i="1"/>
  <c r="AO90" i="1"/>
  <c r="AN90" i="1"/>
  <c r="AL90" i="1"/>
  <c r="AK90" i="1"/>
  <c r="AX89" i="1"/>
  <c r="AR89" i="1"/>
  <c r="AP89" i="1"/>
  <c r="AN89" i="1"/>
  <c r="AM89" i="1"/>
  <c r="AL89" i="1"/>
  <c r="AK89" i="1"/>
  <c r="AU89" i="1" s="1"/>
  <c r="AX88" i="1"/>
  <c r="AT88" i="1"/>
  <c r="AR88" i="1"/>
  <c r="AP88" i="1"/>
  <c r="AN88" i="1"/>
  <c r="AL88" i="1"/>
  <c r="S31" i="20" s="1"/>
  <c r="AK88" i="1"/>
  <c r="AX87" i="1"/>
  <c r="AR87" i="1"/>
  <c r="AQ87" i="1"/>
  <c r="AP87" i="1"/>
  <c r="AN87" i="1"/>
  <c r="AM87" i="1"/>
  <c r="AL87" i="1"/>
  <c r="AK87" i="1"/>
  <c r="AX86" i="1"/>
  <c r="AR86" i="1"/>
  <c r="AP86" i="1"/>
  <c r="AN86" i="1"/>
  <c r="AM86" i="1"/>
  <c r="AL86" i="1"/>
  <c r="AK86" i="1"/>
  <c r="AX85" i="1"/>
  <c r="AR85" i="1"/>
  <c r="AQ85" i="1"/>
  <c r="AP85" i="1"/>
  <c r="AN85" i="1"/>
  <c r="AM85" i="1"/>
  <c r="AL85" i="1"/>
  <c r="AK85" i="1"/>
  <c r="AX84" i="1"/>
  <c r="AR84" i="1"/>
  <c r="AP84" i="1"/>
  <c r="AN84" i="1"/>
  <c r="AM84" i="1"/>
  <c r="AL84" i="1"/>
  <c r="AK84" i="1"/>
  <c r="AX83" i="1"/>
  <c r="AR83" i="1"/>
  <c r="AQ83" i="1"/>
  <c r="AP83" i="1"/>
  <c r="AN83" i="1"/>
  <c r="AM83" i="1"/>
  <c r="AL83" i="1"/>
  <c r="AK83" i="1"/>
  <c r="AX82" i="1"/>
  <c r="AR82" i="1"/>
  <c r="AP82" i="1"/>
  <c r="AN82" i="1"/>
  <c r="AM82" i="1"/>
  <c r="AL82" i="1"/>
  <c r="AK82" i="1"/>
  <c r="R30" i="20" s="1"/>
  <c r="AX81" i="1"/>
  <c r="AT81" i="1"/>
  <c r="AR81" i="1"/>
  <c r="AP81" i="1"/>
  <c r="AN81" i="1"/>
  <c r="AL81" i="1"/>
  <c r="AK81" i="1"/>
  <c r="AX80" i="1"/>
  <c r="AR80" i="1"/>
  <c r="AP80" i="1"/>
  <c r="AN80" i="1"/>
  <c r="AM80" i="1"/>
  <c r="AL80" i="1"/>
  <c r="AK80" i="1"/>
  <c r="AU80" i="1" s="1"/>
  <c r="AX79" i="1"/>
  <c r="AT79" i="1"/>
  <c r="AR79" i="1"/>
  <c r="AP79" i="1"/>
  <c r="AN79" i="1"/>
  <c r="AL79" i="1"/>
  <c r="AK79" i="1"/>
  <c r="AX78" i="1"/>
  <c r="AR78" i="1"/>
  <c r="AP78" i="1"/>
  <c r="AN78" i="1"/>
  <c r="AM78" i="1"/>
  <c r="AL78" i="1"/>
  <c r="AK78" i="1"/>
  <c r="AU78" i="1" s="1"/>
  <c r="AX77" i="1"/>
  <c r="AT77" i="1"/>
  <c r="AR77" i="1"/>
  <c r="AP77" i="1"/>
  <c r="AN77" i="1"/>
  <c r="AL77" i="1"/>
  <c r="AK77" i="1"/>
  <c r="AX76" i="1"/>
  <c r="AR76" i="1"/>
  <c r="AP76" i="1"/>
  <c r="AN76" i="1"/>
  <c r="AM76" i="1"/>
  <c r="AL76" i="1"/>
  <c r="AK76" i="1"/>
  <c r="AU76" i="1" s="1"/>
  <c r="AX75" i="1"/>
  <c r="AT75" i="1"/>
  <c r="AR75" i="1"/>
  <c r="AP75" i="1"/>
  <c r="AN75" i="1"/>
  <c r="AL75" i="1"/>
  <c r="AK75" i="1"/>
  <c r="AX74" i="1"/>
  <c r="AR74" i="1"/>
  <c r="AP74" i="1"/>
  <c r="AN74" i="1"/>
  <c r="AM74" i="1"/>
  <c r="AL74" i="1"/>
  <c r="AK74" i="1"/>
  <c r="AX73" i="1"/>
  <c r="AT73" i="1"/>
  <c r="AR73" i="1"/>
  <c r="AP73" i="1"/>
  <c r="AN73" i="1"/>
  <c r="AL73" i="1"/>
  <c r="S28" i="20" s="1"/>
  <c r="AK73" i="1"/>
  <c r="AX72" i="1"/>
  <c r="AR72" i="1"/>
  <c r="AP72" i="1"/>
  <c r="AN72" i="1"/>
  <c r="AM72" i="1"/>
  <c r="AL72" i="1"/>
  <c r="AK72" i="1"/>
  <c r="AU72" i="1" s="1"/>
  <c r="AX71" i="1"/>
  <c r="AT71" i="1"/>
  <c r="AR71" i="1"/>
  <c r="AP71" i="1"/>
  <c r="AN71" i="1"/>
  <c r="AL71" i="1"/>
  <c r="AK71" i="1"/>
  <c r="AX70" i="1"/>
  <c r="AR70" i="1"/>
  <c r="AP70" i="1"/>
  <c r="AN70" i="1"/>
  <c r="AM70" i="1"/>
  <c r="AL70" i="1"/>
  <c r="AK70" i="1"/>
  <c r="R27" i="20" s="1"/>
  <c r="AU59" i="1"/>
  <c r="AU33" i="1"/>
  <c r="AX30" i="1"/>
  <c r="AT30" i="1"/>
  <c r="AS30" i="1"/>
  <c r="AR30" i="1"/>
  <c r="AQ30" i="1"/>
  <c r="AP30" i="1"/>
  <c r="AO30" i="1"/>
  <c r="AV30" i="1" s="1"/>
  <c r="AN30" i="1"/>
  <c r="AM30" i="1"/>
  <c r="AL30" i="1"/>
  <c r="AK30" i="1"/>
  <c r="AX29" i="1"/>
  <c r="AT29" i="1"/>
  <c r="AS29" i="1"/>
  <c r="AR29" i="1"/>
  <c r="AQ29" i="1"/>
  <c r="AP29" i="1"/>
  <c r="AO29" i="1"/>
  <c r="AV29" i="1" s="1"/>
  <c r="AN29" i="1"/>
  <c r="AM29" i="1"/>
  <c r="AL29" i="1"/>
  <c r="AK29" i="1"/>
  <c r="AX28" i="1"/>
  <c r="AT28" i="1"/>
  <c r="AS28" i="1"/>
  <c r="AR28" i="1"/>
  <c r="AQ28" i="1"/>
  <c r="AP28" i="1"/>
  <c r="AO28" i="1"/>
  <c r="AV28" i="1" s="1"/>
  <c r="AN28" i="1"/>
  <c r="AM28" i="1"/>
  <c r="AL28" i="1"/>
  <c r="S9" i="20" s="1"/>
  <c r="AK28" i="1"/>
  <c r="R9" i="20" s="1"/>
  <c r="AX27" i="1"/>
  <c r="AT27" i="1"/>
  <c r="AS27" i="1"/>
  <c r="AR27" i="1"/>
  <c r="AQ27" i="1"/>
  <c r="AP27" i="1"/>
  <c r="AO27" i="1"/>
  <c r="AV27" i="1" s="1"/>
  <c r="AN27" i="1"/>
  <c r="AM27" i="1"/>
  <c r="AL27" i="1"/>
  <c r="AK27" i="1"/>
  <c r="AX26" i="1"/>
  <c r="AT26" i="1"/>
  <c r="AR26" i="1"/>
  <c r="AP26" i="1"/>
  <c r="AN26" i="1"/>
  <c r="AM26" i="1"/>
  <c r="AL26" i="1"/>
  <c r="S8" i="20" s="1"/>
  <c r="AK26" i="1"/>
  <c r="AX25" i="1"/>
  <c r="AT25" i="1"/>
  <c r="AR25" i="1"/>
  <c r="AP25" i="1"/>
  <c r="AN25" i="1"/>
  <c r="AM25" i="1"/>
  <c r="AL25" i="1"/>
  <c r="AK25" i="1"/>
  <c r="AX24" i="1"/>
  <c r="AT24" i="1"/>
  <c r="AS24" i="1"/>
  <c r="AR24" i="1"/>
  <c r="AQ24" i="1"/>
  <c r="AP24" i="1"/>
  <c r="AO24" i="1"/>
  <c r="AV24" i="1" s="1"/>
  <c r="AN24" i="1"/>
  <c r="AM24" i="1"/>
  <c r="AL24" i="1"/>
  <c r="AK24" i="1"/>
  <c r="AX23" i="1"/>
  <c r="AT23" i="1"/>
  <c r="AS23" i="1"/>
  <c r="AR23" i="1"/>
  <c r="AQ23" i="1"/>
  <c r="AP23" i="1"/>
  <c r="AO23" i="1"/>
  <c r="AV23" i="1" s="1"/>
  <c r="AN23" i="1"/>
  <c r="AM23" i="1"/>
  <c r="AL23" i="1"/>
  <c r="S7" i="20" s="1"/>
  <c r="AK23" i="1"/>
  <c r="AX22" i="1"/>
  <c r="AT22" i="1"/>
  <c r="AS22" i="1"/>
  <c r="AR22" i="1"/>
  <c r="AQ22" i="1"/>
  <c r="AP22" i="1"/>
  <c r="AO22" i="1"/>
  <c r="AV22" i="1" s="1"/>
  <c r="AN22" i="1"/>
  <c r="AM22" i="1"/>
  <c r="AL22" i="1"/>
  <c r="AK22" i="1"/>
  <c r="AX21" i="1"/>
  <c r="AT21" i="1"/>
  <c r="AS21" i="1"/>
  <c r="AR21" i="1"/>
  <c r="AQ21" i="1"/>
  <c r="AP21" i="1"/>
  <c r="AO21" i="1"/>
  <c r="AV21" i="1" s="1"/>
  <c r="AN21" i="1"/>
  <c r="AM21" i="1"/>
  <c r="AL21" i="1"/>
  <c r="AK21" i="1"/>
  <c r="AX20" i="1"/>
  <c r="AT20" i="1"/>
  <c r="AR20" i="1"/>
  <c r="AP20" i="1"/>
  <c r="AN20" i="1"/>
  <c r="AM20" i="1"/>
  <c r="AL20" i="1"/>
  <c r="AK20" i="1"/>
  <c r="AX19" i="1"/>
  <c r="AT19" i="1"/>
  <c r="AS19" i="1"/>
  <c r="AR19" i="1"/>
  <c r="AQ19" i="1"/>
  <c r="AP19" i="1"/>
  <c r="AO19" i="1"/>
  <c r="AV19" i="1" s="1"/>
  <c r="AN19" i="1"/>
  <c r="AM19" i="1"/>
  <c r="AL19" i="1"/>
  <c r="AK19" i="1"/>
  <c r="AX18" i="1"/>
  <c r="AT18" i="1"/>
  <c r="AS18" i="1"/>
  <c r="AR18" i="1"/>
  <c r="AQ18" i="1"/>
  <c r="AP18" i="1"/>
  <c r="AO18" i="1"/>
  <c r="AV18" i="1" s="1"/>
  <c r="AN18" i="1"/>
  <c r="AM18" i="1"/>
  <c r="AL18" i="1"/>
  <c r="S6" i="20" s="1"/>
  <c r="AK18" i="1"/>
  <c r="AX17" i="1"/>
  <c r="AT17" i="1"/>
  <c r="AR17" i="1"/>
  <c r="AP17" i="1"/>
  <c r="AN17" i="1"/>
  <c r="AM17" i="1"/>
  <c r="AL17" i="1"/>
  <c r="AK17" i="1"/>
  <c r="AX16" i="1"/>
  <c r="AT16" i="1"/>
  <c r="AR16" i="1"/>
  <c r="AP16" i="1"/>
  <c r="AN16" i="1"/>
  <c r="AM16" i="1"/>
  <c r="AL16" i="1"/>
  <c r="AK16" i="1"/>
  <c r="AX15" i="1"/>
  <c r="AT15" i="1"/>
  <c r="AR15" i="1"/>
  <c r="AP15" i="1"/>
  <c r="AN15" i="1"/>
  <c r="AM15" i="1"/>
  <c r="AL15" i="1"/>
  <c r="AK15" i="1"/>
  <c r="AX14" i="1"/>
  <c r="AT14" i="1"/>
  <c r="AS14" i="1"/>
  <c r="AR14" i="1"/>
  <c r="AQ14" i="1"/>
  <c r="AP14" i="1"/>
  <c r="AO14" i="1"/>
  <c r="AV14" i="1" s="1"/>
  <c r="AN14" i="1"/>
  <c r="AM14" i="1"/>
  <c r="AL14" i="1"/>
  <c r="AK14" i="1"/>
  <c r="AX13" i="1"/>
  <c r="AT13" i="1"/>
  <c r="AS13" i="1"/>
  <c r="AR13" i="1"/>
  <c r="AQ13" i="1"/>
  <c r="AP13" i="1"/>
  <c r="AO13" i="1"/>
  <c r="AV13" i="1" s="1"/>
  <c r="AN13" i="1"/>
  <c r="AM13" i="1"/>
  <c r="AL13" i="1"/>
  <c r="S5" i="20" s="1"/>
  <c r="AK13" i="1"/>
  <c r="AX12" i="1"/>
  <c r="AT12" i="1"/>
  <c r="AS12" i="1"/>
  <c r="AR12" i="1"/>
  <c r="AQ12" i="1"/>
  <c r="AP12" i="1"/>
  <c r="AO12" i="1"/>
  <c r="AV12" i="1" s="1"/>
  <c r="AN12" i="1"/>
  <c r="AM12" i="1"/>
  <c r="AL12" i="1"/>
  <c r="S4" i="20" s="1"/>
  <c r="AK12" i="1"/>
  <c r="AX11" i="1"/>
  <c r="AT11" i="1"/>
  <c r="AR11" i="1"/>
  <c r="AP11" i="1"/>
  <c r="AN11" i="1"/>
  <c r="AM11" i="1"/>
  <c r="AL11" i="1"/>
  <c r="AK11" i="1"/>
  <c r="AX10" i="1"/>
  <c r="AT10" i="1"/>
  <c r="AS10" i="1"/>
  <c r="AR10" i="1"/>
  <c r="AQ10" i="1"/>
  <c r="AP10" i="1"/>
  <c r="AO10" i="1"/>
  <c r="AV10" i="1" s="1"/>
  <c r="AN10" i="1"/>
  <c r="AM10" i="1"/>
  <c r="AL10" i="1"/>
  <c r="AK10" i="1"/>
  <c r="AX9" i="1"/>
  <c r="AT9" i="1"/>
  <c r="AS9" i="1"/>
  <c r="AR9" i="1"/>
  <c r="AQ9" i="1"/>
  <c r="AP9" i="1"/>
  <c r="AO9" i="1"/>
  <c r="AV9" i="1" s="1"/>
  <c r="AN9" i="1"/>
  <c r="AM9" i="1"/>
  <c r="AL9" i="1"/>
  <c r="AL31" i="1" s="1"/>
  <c r="AK9" i="1"/>
  <c r="AX4" i="1"/>
  <c r="AV4" i="1"/>
  <c r="AT4" i="1"/>
  <c r="AO3" i="1"/>
  <c r="AO2" i="1"/>
  <c r="AO1" i="1"/>
  <c r="AM99" i="1"/>
  <c r="AM98" i="1"/>
  <c r="AM97" i="1"/>
  <c r="AM95" i="1"/>
  <c r="AT94" i="1"/>
  <c r="AM94" i="1"/>
  <c r="AT93" i="1"/>
  <c r="AM93" i="1"/>
  <c r="AT92" i="1"/>
  <c r="AM91" i="1"/>
  <c r="AM90" i="1"/>
  <c r="AM88" i="1"/>
  <c r="AS87" i="1"/>
  <c r="AO87" i="1"/>
  <c r="AS86" i="1"/>
  <c r="AQ86" i="1"/>
  <c r="AO86" i="1"/>
  <c r="AS85" i="1"/>
  <c r="AO85" i="1"/>
  <c r="AS84" i="1"/>
  <c r="AQ84" i="1"/>
  <c r="AO84" i="1"/>
  <c r="AS83" i="1"/>
  <c r="AO83" i="1"/>
  <c r="AT82" i="1"/>
  <c r="AM81" i="1"/>
  <c r="AT80" i="1"/>
  <c r="AM79" i="1"/>
  <c r="AM77" i="1"/>
  <c r="AM75" i="1"/>
  <c r="AM73" i="1"/>
  <c r="AM71" i="1"/>
  <c r="AM68" i="1"/>
  <c r="AM67" i="1"/>
  <c r="AM66" i="1"/>
  <c r="AT65" i="1"/>
  <c r="AM65" i="1"/>
  <c r="AT64" i="1"/>
  <c r="AM64" i="1"/>
  <c r="AT63" i="1"/>
  <c r="AM63" i="1"/>
  <c r="AT62" i="1"/>
  <c r="AM62" i="1"/>
  <c r="AT61" i="1"/>
  <c r="AM61" i="1"/>
  <c r="AT60" i="1"/>
  <c r="AT59" i="1"/>
  <c r="AM59" i="1"/>
  <c r="AT58" i="1"/>
  <c r="AT57" i="1"/>
  <c r="AT56" i="1"/>
  <c r="AT55" i="1"/>
  <c r="AM55" i="1"/>
  <c r="AT54" i="1"/>
  <c r="AT53" i="1"/>
  <c r="AM53" i="1"/>
  <c r="AT52" i="1"/>
  <c r="AM52" i="1"/>
  <c r="AT51" i="1"/>
  <c r="AM51" i="1"/>
  <c r="AT50" i="1"/>
  <c r="AM50" i="1"/>
  <c r="AT49" i="1"/>
  <c r="AM49" i="1"/>
  <c r="AT48" i="1"/>
  <c r="AM48" i="1"/>
  <c r="AT47" i="1"/>
  <c r="AM47" i="1"/>
  <c r="AT46" i="1"/>
  <c r="AM46" i="1"/>
  <c r="AT45" i="1"/>
  <c r="AM45" i="1"/>
  <c r="AT44" i="1"/>
  <c r="AM44" i="1"/>
  <c r="AT43" i="1"/>
  <c r="AM43" i="1"/>
  <c r="AT42" i="1"/>
  <c r="AM42" i="1"/>
  <c r="AT41" i="1"/>
  <c r="AM41" i="1"/>
  <c r="AT40" i="1"/>
  <c r="AM40" i="1"/>
  <c r="AT39" i="1"/>
  <c r="AM39" i="1"/>
  <c r="AT38" i="1"/>
  <c r="AM38" i="1"/>
  <c r="AT37" i="1"/>
  <c r="AM37" i="1"/>
  <c r="AT36" i="1"/>
  <c r="AM36" i="1"/>
  <c r="AT35" i="1"/>
  <c r="AM35" i="1"/>
  <c r="AT34" i="1"/>
  <c r="AT33" i="1"/>
  <c r="AM33" i="1"/>
  <c r="AT32" i="1"/>
  <c r="AM32" i="1"/>
  <c r="AT114" i="1"/>
  <c r="AT123" i="1"/>
  <c r="AM123" i="1"/>
  <c r="AM122" i="1"/>
  <c r="AT121" i="1"/>
  <c r="AM121" i="1"/>
  <c r="AT120" i="1"/>
  <c r="AM120" i="1"/>
  <c r="AM119" i="1"/>
  <c r="AT118" i="1"/>
  <c r="AM118" i="1"/>
  <c r="AT117" i="1"/>
  <c r="AM117" i="1"/>
  <c r="AT116" i="1"/>
  <c r="AT115" i="1"/>
  <c r="AM115" i="1"/>
  <c r="AT112" i="1"/>
  <c r="AM112" i="1"/>
  <c r="AT110" i="1"/>
  <c r="AM110" i="1"/>
  <c r="AM108" i="1"/>
  <c r="AT107" i="1"/>
  <c r="AM107" i="1"/>
  <c r="AT106" i="1"/>
  <c r="AM106" i="1"/>
  <c r="AT105" i="1"/>
  <c r="AM105" i="1"/>
  <c r="AM104" i="1"/>
  <c r="AT103" i="1"/>
  <c r="AM103" i="1"/>
  <c r="AT102" i="1"/>
  <c r="AM102" i="1"/>
  <c r="AT144" i="1"/>
  <c r="AM144" i="1"/>
  <c r="AM143" i="1"/>
  <c r="AM142" i="1"/>
  <c r="AT141" i="1"/>
  <c r="AM141" i="1"/>
  <c r="AM140" i="1"/>
  <c r="AM138" i="1"/>
  <c r="AM137" i="1"/>
  <c r="AM136" i="1"/>
  <c r="AM135" i="1"/>
  <c r="AM134" i="1"/>
  <c r="AM133" i="1"/>
  <c r="AT132" i="1"/>
  <c r="AM132" i="1"/>
  <c r="AM130" i="1"/>
  <c r="AM129" i="1"/>
  <c r="AM128" i="1"/>
  <c r="AM127" i="1"/>
  <c r="AT126" i="1"/>
  <c r="AM126" i="1"/>
  <c r="AT125" i="1"/>
  <c r="AM125" i="1"/>
  <c r="AU137" i="1" l="1"/>
  <c r="AU139" i="1"/>
  <c r="AU129" i="1"/>
  <c r="AU133" i="1"/>
  <c r="R16" i="20"/>
  <c r="S21" i="20"/>
  <c r="R22" i="20"/>
  <c r="S20" i="20"/>
  <c r="AU65" i="1"/>
  <c r="S17" i="20"/>
  <c r="AU94" i="1"/>
  <c r="AU98" i="1"/>
  <c r="AU81" i="1"/>
  <c r="AU105" i="1"/>
  <c r="AU121" i="1"/>
  <c r="T43" i="20"/>
  <c r="AU74" i="1"/>
  <c r="R29" i="20"/>
  <c r="AU123" i="1"/>
  <c r="R45" i="20"/>
  <c r="T45" i="20" s="1"/>
  <c r="AU131" i="1"/>
  <c r="S51" i="20"/>
  <c r="AT133" i="1"/>
  <c r="AT135" i="1"/>
  <c r="AT142" i="1"/>
  <c r="AT143" i="1"/>
  <c r="AT96" i="1"/>
  <c r="AT98" i="1"/>
  <c r="AT100" i="1"/>
  <c r="AK31" i="1"/>
  <c r="R3" i="20"/>
  <c r="R10" i="20" s="1"/>
  <c r="AT84" i="1"/>
  <c r="AT86" i="1"/>
  <c r="S34" i="20"/>
  <c r="AT97" i="1"/>
  <c r="S40" i="20"/>
  <c r="AU103" i="1"/>
  <c r="R40" i="20"/>
  <c r="AU112" i="1"/>
  <c r="S42" i="20"/>
  <c r="AU117" i="1"/>
  <c r="R44" i="20"/>
  <c r="AU125" i="1"/>
  <c r="S50" i="20"/>
  <c r="AT128" i="1"/>
  <c r="AT136" i="1"/>
  <c r="AU143" i="1"/>
  <c r="S54" i="20"/>
  <c r="S18" i="20"/>
  <c r="S16" i="20"/>
  <c r="S15" i="20"/>
  <c r="T16" i="20"/>
  <c r="D46" i="17"/>
  <c r="J46" i="17" s="1"/>
  <c r="AU10" i="1"/>
  <c r="AW10" i="1" s="1"/>
  <c r="AM31" i="1"/>
  <c r="AU13" i="1"/>
  <c r="AW13" i="1" s="1"/>
  <c r="AU15" i="1"/>
  <c r="AU16" i="1"/>
  <c r="AU17" i="1"/>
  <c r="AU18" i="1"/>
  <c r="AW18" i="1" s="1"/>
  <c r="AU20" i="1"/>
  <c r="AU21" i="1"/>
  <c r="AW21" i="1" s="1"/>
  <c r="AU23" i="1"/>
  <c r="AW23" i="1" s="1"/>
  <c r="AU25" i="1"/>
  <c r="AU26" i="1"/>
  <c r="AU27" i="1"/>
  <c r="AW27" i="1" s="1"/>
  <c r="V9" i="20"/>
  <c r="AU29" i="1"/>
  <c r="AW29" i="1" s="1"/>
  <c r="AU37" i="1"/>
  <c r="S27" i="20"/>
  <c r="AT70" i="1"/>
  <c r="AU71" i="1"/>
  <c r="AT72" i="1"/>
  <c r="AU73" i="1"/>
  <c r="R28" i="20"/>
  <c r="T28" i="20" s="1"/>
  <c r="S29" i="20"/>
  <c r="AT74" i="1"/>
  <c r="AU75" i="1"/>
  <c r="AT76" i="1"/>
  <c r="AU77" i="1"/>
  <c r="AT78" i="1"/>
  <c r="AU79" i="1"/>
  <c r="AU82" i="1"/>
  <c r="AT83" i="1"/>
  <c r="AT85" i="1"/>
  <c r="AT87" i="1"/>
  <c r="AU88" i="1"/>
  <c r="AT89" i="1"/>
  <c r="AU91" i="1"/>
  <c r="R32" i="20"/>
  <c r="T32" i="20" s="1"/>
  <c r="AU93" i="1"/>
  <c r="AU95" i="1"/>
  <c r="R33" i="20"/>
  <c r="T33" i="20" s="1"/>
  <c r="AU97" i="1"/>
  <c r="R34" i="20"/>
  <c r="T34" i="20" s="1"/>
  <c r="AU99" i="1"/>
  <c r="AK124" i="1"/>
  <c r="AU104" i="1"/>
  <c r="AU106" i="1"/>
  <c r="AU108" i="1"/>
  <c r="AU110" i="1"/>
  <c r="S41" i="20"/>
  <c r="T41" i="20" s="1"/>
  <c r="T42" i="20"/>
  <c r="AU115" i="1"/>
  <c r="S44" i="20"/>
  <c r="AU122" i="1"/>
  <c r="AK145" i="1"/>
  <c r="AU126" i="1"/>
  <c r="AU128" i="1"/>
  <c r="AU130" i="1"/>
  <c r="R51" i="20"/>
  <c r="AT131" i="1"/>
  <c r="AU132" i="1"/>
  <c r="AU134" i="1"/>
  <c r="AU136" i="1"/>
  <c r="AT137" i="1"/>
  <c r="AU138" i="1"/>
  <c r="S52" i="20"/>
  <c r="R53" i="20"/>
  <c r="AT139" i="1"/>
  <c r="AU140" i="1"/>
  <c r="AU142" i="1"/>
  <c r="AU144" i="1"/>
  <c r="S55" i="20"/>
  <c r="V55" i="20" s="1"/>
  <c r="R14" i="20"/>
  <c r="S22" i="20"/>
  <c r="T22" i="20" s="1"/>
  <c r="S19" i="20"/>
  <c r="R31" i="20"/>
  <c r="T31" i="20" s="1"/>
  <c r="S30" i="20"/>
  <c r="T30" i="20" s="1"/>
  <c r="R50" i="20"/>
  <c r="S53" i="20"/>
  <c r="V53" i="20" s="1"/>
  <c r="R21" i="20"/>
  <c r="T21" i="20" s="1"/>
  <c r="R17" i="20"/>
  <c r="T17" i="20" s="1"/>
  <c r="R15" i="20"/>
  <c r="T15" i="20" s="1"/>
  <c r="N61" i="16"/>
  <c r="O61" i="16"/>
  <c r="Z75" i="7"/>
  <c r="AE69" i="7"/>
  <c r="F69" i="7" s="1"/>
  <c r="AE75" i="7"/>
  <c r="F86" i="7" s="1"/>
  <c r="C99" i="7" s="1"/>
  <c r="AE72" i="7"/>
  <c r="F77" i="7" s="1"/>
  <c r="C96" i="7" s="1"/>
  <c r="AE74" i="7"/>
  <c r="F84" i="7" s="1"/>
  <c r="C98" i="7" s="1"/>
  <c r="O60" i="16"/>
  <c r="M60" i="16"/>
  <c r="N60" i="16"/>
  <c r="L60" i="16"/>
  <c r="N63" i="16"/>
  <c r="L63" i="16"/>
  <c r="O63" i="16"/>
  <c r="M63" i="16"/>
  <c r="O65" i="16"/>
  <c r="M65" i="16"/>
  <c r="N65" i="16"/>
  <c r="L65" i="16"/>
  <c r="R44" i="18"/>
  <c r="F44" i="18" s="1"/>
  <c r="T67" i="16"/>
  <c r="F76" i="16" s="1"/>
  <c r="C89" i="16" s="1"/>
  <c r="J49" i="18"/>
  <c r="T9" i="20"/>
  <c r="R5" i="20"/>
  <c r="T5" i="20" s="1"/>
  <c r="R7" i="20"/>
  <c r="T7" i="20" s="1"/>
  <c r="AU11" i="1"/>
  <c r="AU12" i="1"/>
  <c r="AW12" i="1" s="1"/>
  <c r="AU14" i="1"/>
  <c r="AW14" i="1" s="1"/>
  <c r="AU19" i="1"/>
  <c r="AW19" i="1" s="1"/>
  <c r="AU22" i="1"/>
  <c r="AW22" i="1" s="1"/>
  <c r="AU24" i="1"/>
  <c r="AW24" i="1" s="1"/>
  <c r="AU28" i="1"/>
  <c r="AW28" i="1" s="1"/>
  <c r="AU30" i="1"/>
  <c r="AW30" i="1" s="1"/>
  <c r="R4" i="20"/>
  <c r="T4" i="20" s="1"/>
  <c r="R6" i="20"/>
  <c r="R8" i="20"/>
  <c r="S3" i="20"/>
  <c r="S10" i="20" s="1"/>
  <c r="S61" i="20" s="1"/>
  <c r="AE70" i="7"/>
  <c r="F72" i="7" s="1"/>
  <c r="C94" i="7" s="1"/>
  <c r="M44" i="18"/>
  <c r="L45" i="18"/>
  <c r="M47" i="18"/>
  <c r="L49" i="18"/>
  <c r="M48" i="18"/>
  <c r="K48" i="18"/>
  <c r="L48" i="18"/>
  <c r="J48" i="18"/>
  <c r="J44" i="18"/>
  <c r="L44" i="18"/>
  <c r="J45" i="18"/>
  <c r="J46" i="18"/>
  <c r="L46" i="18"/>
  <c r="J47" i="18"/>
  <c r="L47" i="18"/>
  <c r="K44" i="18"/>
  <c r="K45" i="18"/>
  <c r="K46" i="18"/>
  <c r="K47" i="18"/>
  <c r="K49" i="18"/>
  <c r="R45" i="18"/>
  <c r="F49" i="18" s="1"/>
  <c r="C69" i="18" s="1"/>
  <c r="R46" i="18"/>
  <c r="F56" i="18" s="1"/>
  <c r="C70" i="18" s="1"/>
  <c r="R47" i="18"/>
  <c r="F57" i="18" s="1"/>
  <c r="C71" i="18" s="1"/>
  <c r="R48" i="18"/>
  <c r="F60" i="18" s="1"/>
  <c r="C72" i="18" s="1"/>
  <c r="C68" i="18"/>
  <c r="T45" i="17"/>
  <c r="F51" i="17" s="1"/>
  <c r="C65" i="17" s="1"/>
  <c r="T42" i="17"/>
  <c r="F48" i="17" s="1"/>
  <c r="C62" i="17" s="1"/>
  <c r="T41" i="17"/>
  <c r="F41" i="17" s="1"/>
  <c r="O66" i="16"/>
  <c r="N67" i="16"/>
  <c r="N64" i="16"/>
  <c r="N62" i="16"/>
  <c r="M61" i="16"/>
  <c r="M62" i="16"/>
  <c r="M64" i="16"/>
  <c r="M66" i="16"/>
  <c r="M67" i="16"/>
  <c r="P60" i="16"/>
  <c r="Q60" i="16" s="1"/>
  <c r="E60" i="16" s="1"/>
  <c r="L61" i="16"/>
  <c r="P61" i="16" s="1"/>
  <c r="Q61" i="16" s="1"/>
  <c r="B83" i="16" s="1"/>
  <c r="L62" i="16"/>
  <c r="P62" i="16" s="1"/>
  <c r="Q62" i="16" s="1"/>
  <c r="B84" i="16" s="1"/>
  <c r="L64" i="16"/>
  <c r="P64" i="16" s="1"/>
  <c r="Q64" i="16" s="1"/>
  <c r="B86" i="16" s="1"/>
  <c r="L66" i="16"/>
  <c r="P66" i="16" s="1"/>
  <c r="Q66" i="16" s="1"/>
  <c r="E74" i="16" s="1"/>
  <c r="L67" i="16"/>
  <c r="E62" i="16"/>
  <c r="E70" i="16"/>
  <c r="C90" i="16"/>
  <c r="F79" i="16"/>
  <c r="T63" i="8"/>
  <c r="E75" i="8" s="1"/>
  <c r="C108" i="8" s="1"/>
  <c r="T61" i="8"/>
  <c r="E61" i="8" s="1"/>
  <c r="C106" i="8" s="1"/>
  <c r="T69" i="8"/>
  <c r="E92" i="8" s="1"/>
  <c r="C114" i="8" s="1"/>
  <c r="T62" i="8"/>
  <c r="E66" i="8" s="1"/>
  <c r="C107" i="8" s="1"/>
  <c r="T64" i="8"/>
  <c r="E79" i="8" s="1"/>
  <c r="C109" i="8" s="1"/>
  <c r="T68" i="8"/>
  <c r="E90" i="8" s="1"/>
  <c r="C113" i="8" s="1"/>
  <c r="S70" i="8"/>
  <c r="W73" i="7"/>
  <c r="Y73" i="7"/>
  <c r="Y72" i="7"/>
  <c r="Y71" i="7"/>
  <c r="Y70" i="7"/>
  <c r="W70" i="7"/>
  <c r="Z70" i="7"/>
  <c r="X70" i="7"/>
  <c r="W74" i="7"/>
  <c r="Y74" i="7"/>
  <c r="Z74" i="7"/>
  <c r="W75" i="7"/>
  <c r="Y75" i="7"/>
  <c r="Z73" i="7"/>
  <c r="Z72" i="7"/>
  <c r="Z71" i="7"/>
  <c r="W71" i="7"/>
  <c r="W72" i="7"/>
  <c r="W69" i="7"/>
  <c r="Y69" i="7"/>
  <c r="Z69" i="7"/>
  <c r="X69" i="7"/>
  <c r="X71" i="7"/>
  <c r="AA71" i="7" s="1"/>
  <c r="AB71" i="7" s="1"/>
  <c r="B95" i="7" s="1"/>
  <c r="W5" i="20" s="1"/>
  <c r="X72" i="7"/>
  <c r="X73" i="7"/>
  <c r="AA73" i="7" s="1"/>
  <c r="AB73" i="7" s="1"/>
  <c r="B97" i="7" s="1"/>
  <c r="W7" i="20" s="1"/>
  <c r="X74" i="7"/>
  <c r="X75" i="7"/>
  <c r="AA75" i="7" s="1"/>
  <c r="AB75" i="7" s="1"/>
  <c r="B99" i="7" s="1"/>
  <c r="AE73" i="7"/>
  <c r="F82" i="7" s="1"/>
  <c r="C97" i="7" s="1"/>
  <c r="F89" i="7"/>
  <c r="C93" i="7"/>
  <c r="V52" i="20"/>
  <c r="V54" i="20"/>
  <c r="R46" i="20"/>
  <c r="R64" i="20" s="1"/>
  <c r="S66" i="20"/>
  <c r="T10" i="20"/>
  <c r="T61" i="20" s="1"/>
  <c r="R61" i="20"/>
  <c r="V3" i="20"/>
  <c r="V14" i="20"/>
  <c r="V15" i="20"/>
  <c r="V16" i="20"/>
  <c r="V17" i="20"/>
  <c r="V21" i="20"/>
  <c r="V22" i="20"/>
  <c r="V27" i="20"/>
  <c r="V28" i="20"/>
  <c r="V29" i="20"/>
  <c r="V30" i="20"/>
  <c r="V31" i="20"/>
  <c r="V32" i="20"/>
  <c r="V33" i="20"/>
  <c r="V34" i="20"/>
  <c r="V40" i="20"/>
  <c r="V41" i="20"/>
  <c r="V42" i="20"/>
  <c r="V43" i="20"/>
  <c r="V44" i="20"/>
  <c r="V45" i="20"/>
  <c r="T51" i="20"/>
  <c r="T52" i="20"/>
  <c r="T53" i="20"/>
  <c r="T54" i="20"/>
  <c r="T55" i="20"/>
  <c r="R56" i="20"/>
  <c r="R65" i="20" s="1"/>
  <c r="T3" i="20"/>
  <c r="T14" i="20"/>
  <c r="T27" i="20"/>
  <c r="T40" i="20"/>
  <c r="T50" i="20"/>
  <c r="V51" i="20"/>
  <c r="AM101" i="1"/>
  <c r="AU64" i="1"/>
  <c r="AU66" i="1"/>
  <c r="AU51" i="1"/>
  <c r="AU62" i="1"/>
  <c r="AU68" i="1"/>
  <c r="AU34" i="1"/>
  <c r="AU36" i="1"/>
  <c r="AU38" i="1"/>
  <c r="AU40" i="1"/>
  <c r="AU42" i="1"/>
  <c r="AU44" i="1"/>
  <c r="AU46" i="1"/>
  <c r="AU48" i="1"/>
  <c r="AU50" i="1"/>
  <c r="AU52" i="1"/>
  <c r="AU55" i="1"/>
  <c r="AU61" i="1"/>
  <c r="AU63" i="1"/>
  <c r="AU32" i="1"/>
  <c r="AU9" i="1"/>
  <c r="AW9" i="1" s="1"/>
  <c r="AU102" i="1"/>
  <c r="AK101" i="1"/>
  <c r="AU70" i="1"/>
  <c r="AL145" i="1"/>
  <c r="AL101" i="1"/>
  <c r="AL124" i="1"/>
  <c r="J27" i="16"/>
  <c r="S15" i="16"/>
  <c r="J34" i="20" s="1"/>
  <c r="R15" i="16"/>
  <c r="I34" i="20" s="1"/>
  <c r="J33" i="20"/>
  <c r="I33" i="20"/>
  <c r="J32" i="20"/>
  <c r="I32" i="20"/>
  <c r="J31" i="20"/>
  <c r="I31" i="20"/>
  <c r="J30" i="20"/>
  <c r="I30" i="20"/>
  <c r="J29" i="20"/>
  <c r="I29" i="20"/>
  <c r="J28" i="20"/>
  <c r="I28" i="20"/>
  <c r="J27" i="20"/>
  <c r="J35" i="20" s="1"/>
  <c r="I27" i="20"/>
  <c r="A11" i="16"/>
  <c r="A8" i="16"/>
  <c r="D10" i="16"/>
  <c r="J10" i="16" s="1"/>
  <c r="D12" i="16"/>
  <c r="J12" i="16" s="1"/>
  <c r="D14" i="16"/>
  <c r="J14" i="16" s="1"/>
  <c r="D16" i="16"/>
  <c r="J16" i="16" s="1"/>
  <c r="AF82" i="1"/>
  <c r="D18" i="16"/>
  <c r="J18" i="16" s="1"/>
  <c r="D19" i="16"/>
  <c r="J19" i="16" s="1"/>
  <c r="D21" i="16"/>
  <c r="J21" i="16" s="1"/>
  <c r="N13" i="16" s="1"/>
  <c r="D22" i="16"/>
  <c r="J22" i="16" s="1"/>
  <c r="D23" i="16"/>
  <c r="J23" i="16" s="1"/>
  <c r="D24" i="16"/>
  <c r="J24" i="16" s="1"/>
  <c r="D25" i="16"/>
  <c r="J25" i="16" s="1"/>
  <c r="D26" i="16"/>
  <c r="J26" i="16" s="1"/>
  <c r="Z71" i="1"/>
  <c r="AB71" i="1"/>
  <c r="AD71" i="1"/>
  <c r="Z72" i="1"/>
  <c r="AB72" i="1"/>
  <c r="AD72" i="1"/>
  <c r="Z73" i="1"/>
  <c r="AB73" i="1"/>
  <c r="AD73" i="1"/>
  <c r="Z74" i="1"/>
  <c r="AB74" i="1"/>
  <c r="AD74" i="1"/>
  <c r="Z75" i="1"/>
  <c r="AB75" i="1"/>
  <c r="AD75" i="1"/>
  <c r="Z76" i="1"/>
  <c r="AB76" i="1"/>
  <c r="AD76" i="1"/>
  <c r="Z77" i="1"/>
  <c r="AB77" i="1"/>
  <c r="AD77" i="1"/>
  <c r="Z78" i="1"/>
  <c r="AB78" i="1"/>
  <c r="AD78" i="1"/>
  <c r="Z79" i="1"/>
  <c r="AB79" i="1"/>
  <c r="AD79" i="1"/>
  <c r="Z80" i="1"/>
  <c r="AB80" i="1"/>
  <c r="AD80" i="1"/>
  <c r="Z81" i="1"/>
  <c r="AB81" i="1"/>
  <c r="AD81" i="1"/>
  <c r="AF81" i="1"/>
  <c r="Z82" i="1"/>
  <c r="AB82" i="1"/>
  <c r="AD82" i="1"/>
  <c r="Z83" i="1"/>
  <c r="AB83" i="1"/>
  <c r="AD83" i="1"/>
  <c r="AF83" i="1"/>
  <c r="Z84" i="1"/>
  <c r="AB84" i="1"/>
  <c r="AD84" i="1"/>
  <c r="Z85" i="1"/>
  <c r="AB85" i="1"/>
  <c r="AD85" i="1"/>
  <c r="AF85" i="1"/>
  <c r="Z86" i="1"/>
  <c r="AB86" i="1"/>
  <c r="AD86" i="1"/>
  <c r="Z87" i="1"/>
  <c r="AB87" i="1"/>
  <c r="AD87" i="1"/>
  <c r="AF87" i="1"/>
  <c r="Z88" i="1"/>
  <c r="AB88" i="1"/>
  <c r="AD88" i="1"/>
  <c r="Z89" i="1"/>
  <c r="AB89" i="1"/>
  <c r="AD89" i="1"/>
  <c r="Z90" i="1"/>
  <c r="AA90" i="1"/>
  <c r="AB90" i="1"/>
  <c r="AC90" i="1"/>
  <c r="AD90" i="1"/>
  <c r="AE90" i="1"/>
  <c r="AF90" i="1"/>
  <c r="Z91" i="1"/>
  <c r="AB91" i="1"/>
  <c r="AD91" i="1"/>
  <c r="Z92" i="1"/>
  <c r="AB92" i="1"/>
  <c r="AD92" i="1"/>
  <c r="Z93" i="1"/>
  <c r="AB93" i="1"/>
  <c r="AD93" i="1"/>
  <c r="AF93" i="1"/>
  <c r="Z94" i="1"/>
  <c r="AB94" i="1"/>
  <c r="AD94" i="1"/>
  <c r="AF94" i="1"/>
  <c r="Z95" i="1"/>
  <c r="AB95" i="1"/>
  <c r="AD95" i="1"/>
  <c r="Z96" i="1"/>
  <c r="AB96" i="1"/>
  <c r="AD96" i="1"/>
  <c r="Z97" i="1"/>
  <c r="AB97" i="1"/>
  <c r="AD97" i="1"/>
  <c r="AF97" i="1"/>
  <c r="Z98" i="1"/>
  <c r="AB98" i="1"/>
  <c r="AD98" i="1"/>
  <c r="Z99" i="1"/>
  <c r="AB99" i="1"/>
  <c r="AD99" i="1"/>
  <c r="Z100" i="1"/>
  <c r="AB100" i="1"/>
  <c r="AD100" i="1"/>
  <c r="Y83" i="1"/>
  <c r="Y84" i="1"/>
  <c r="Y85" i="1"/>
  <c r="Y86" i="1"/>
  <c r="Y87" i="1"/>
  <c r="Y100" i="1"/>
  <c r="Z70" i="1"/>
  <c r="AB70" i="1"/>
  <c r="AD70" i="1"/>
  <c r="X97" i="1"/>
  <c r="X98" i="1"/>
  <c r="X99" i="1"/>
  <c r="X100" i="1"/>
  <c r="W98" i="1"/>
  <c r="W99" i="1"/>
  <c r="W100" i="1"/>
  <c r="W97" i="1"/>
  <c r="X95" i="1"/>
  <c r="X96" i="1"/>
  <c r="W96" i="1"/>
  <c r="W95" i="1"/>
  <c r="W92" i="1"/>
  <c r="W93" i="1"/>
  <c r="W94" i="1"/>
  <c r="X91" i="1"/>
  <c r="W91" i="1"/>
  <c r="X88" i="1"/>
  <c r="X89" i="1"/>
  <c r="X90" i="1"/>
  <c r="W89" i="1"/>
  <c r="W90" i="1"/>
  <c r="W88" i="1"/>
  <c r="W83" i="1"/>
  <c r="X83" i="1"/>
  <c r="W84" i="1"/>
  <c r="X84" i="1"/>
  <c r="W85" i="1"/>
  <c r="X85" i="1"/>
  <c r="W86" i="1"/>
  <c r="X86" i="1"/>
  <c r="W87" i="1"/>
  <c r="X87" i="1"/>
  <c r="X82" i="1"/>
  <c r="W82" i="1"/>
  <c r="W75" i="1"/>
  <c r="X75" i="1"/>
  <c r="W76" i="1"/>
  <c r="X76" i="1"/>
  <c r="W77" i="1"/>
  <c r="X77" i="1"/>
  <c r="W78" i="1"/>
  <c r="X78" i="1"/>
  <c r="W79" i="1"/>
  <c r="X79" i="1"/>
  <c r="W80" i="1"/>
  <c r="X80" i="1"/>
  <c r="W81" i="1"/>
  <c r="X81" i="1"/>
  <c r="X74" i="1"/>
  <c r="W74" i="1"/>
  <c r="X73" i="1"/>
  <c r="W73" i="1"/>
  <c r="X70" i="1"/>
  <c r="X71" i="1"/>
  <c r="X72" i="1"/>
  <c r="W71" i="1"/>
  <c r="W72" i="1"/>
  <c r="W70" i="1"/>
  <c r="Y90" i="1"/>
  <c r="A52" i="8"/>
  <c r="A51" i="8"/>
  <c r="I14" i="20"/>
  <c r="J14" i="20"/>
  <c r="J22" i="20"/>
  <c r="I22" i="20"/>
  <c r="I21" i="20"/>
  <c r="J20" i="20"/>
  <c r="J19" i="20"/>
  <c r="J18" i="20"/>
  <c r="J17" i="20"/>
  <c r="I17" i="20"/>
  <c r="J16" i="20"/>
  <c r="I16" i="20"/>
  <c r="J15" i="20"/>
  <c r="I15" i="20"/>
  <c r="D9" i="8"/>
  <c r="J9" i="8" s="1"/>
  <c r="D10" i="8"/>
  <c r="J10" i="8" s="1"/>
  <c r="D11" i="8"/>
  <c r="J11" i="8" s="1"/>
  <c r="D12" i="8"/>
  <c r="J12" i="8" s="1"/>
  <c r="D13" i="8"/>
  <c r="J13" i="8" s="1"/>
  <c r="D14" i="8"/>
  <c r="J14" i="8" s="1"/>
  <c r="D15" i="8"/>
  <c r="J15" i="8" s="1"/>
  <c r="D16" i="8"/>
  <c r="J16" i="8" s="1"/>
  <c r="D17" i="8"/>
  <c r="J17" i="8" s="1"/>
  <c r="D18" i="8"/>
  <c r="J18" i="8" s="1"/>
  <c r="D19" i="8"/>
  <c r="J19" i="8" s="1"/>
  <c r="D20" i="8"/>
  <c r="J20" i="8" s="1"/>
  <c r="D21" i="8"/>
  <c r="J21" i="8" s="1"/>
  <c r="D22" i="8"/>
  <c r="J22" i="8" s="1"/>
  <c r="D23" i="8"/>
  <c r="J23" i="8" s="1"/>
  <c r="D24" i="8"/>
  <c r="J24" i="8" s="1"/>
  <c r="D25" i="8"/>
  <c r="J25" i="8" s="1"/>
  <c r="D26" i="8"/>
  <c r="J26" i="8" s="1"/>
  <c r="D27" i="8"/>
  <c r="J27" i="8" s="1"/>
  <c r="D28" i="8"/>
  <c r="J28" i="8" s="1"/>
  <c r="D29" i="8"/>
  <c r="J29" i="8" s="1"/>
  <c r="D30" i="8"/>
  <c r="J30" i="8" s="1"/>
  <c r="D31" i="8"/>
  <c r="J31" i="8" s="1"/>
  <c r="D32" i="8"/>
  <c r="J32" i="8" s="1"/>
  <c r="D33" i="8"/>
  <c r="J33" i="8" s="1"/>
  <c r="D34" i="8"/>
  <c r="J34" i="8" s="1"/>
  <c r="D35" i="8"/>
  <c r="J35" i="8" s="1"/>
  <c r="D36" i="8"/>
  <c r="J36" i="8" s="1"/>
  <c r="D37" i="8"/>
  <c r="J37" i="8" s="1"/>
  <c r="D38" i="8"/>
  <c r="D39" i="8"/>
  <c r="D40" i="8"/>
  <c r="D8" i="8"/>
  <c r="S23" i="20" l="1"/>
  <c r="S62" i="20" s="1"/>
  <c r="C100" i="7"/>
  <c r="D97" i="7"/>
  <c r="D84" i="16"/>
  <c r="W29" i="20"/>
  <c r="P65" i="16"/>
  <c r="Q65" i="16" s="1"/>
  <c r="P63" i="16"/>
  <c r="Q63" i="16" s="1"/>
  <c r="O15" i="16"/>
  <c r="X31" i="20"/>
  <c r="X29" i="20"/>
  <c r="D86" i="16"/>
  <c r="W31" i="20"/>
  <c r="D83" i="16"/>
  <c r="W28" i="20"/>
  <c r="X28" i="20" s="1"/>
  <c r="S35" i="20"/>
  <c r="S63" i="20" s="1"/>
  <c r="V50" i="20"/>
  <c r="X50" i="20" s="1"/>
  <c r="T44" i="20"/>
  <c r="T46" i="20" s="1"/>
  <c r="T64" i="20" s="1"/>
  <c r="S46" i="20"/>
  <c r="S64" i="20" s="1"/>
  <c r="R35" i="20"/>
  <c r="R63" i="20" s="1"/>
  <c r="S56" i="20"/>
  <c r="S65" i="20" s="1"/>
  <c r="T29" i="20"/>
  <c r="T35" i="20" s="1"/>
  <c r="T63" i="20" s="1"/>
  <c r="T6" i="20"/>
  <c r="V6" i="20"/>
  <c r="V5" i="20"/>
  <c r="X5" i="20" s="1"/>
  <c r="T8" i="20"/>
  <c r="V8" i="20"/>
  <c r="V7" i="20"/>
  <c r="X7" i="20" s="1"/>
  <c r="V4" i="20"/>
  <c r="C74" i="18"/>
  <c r="D68" i="18"/>
  <c r="F62" i="18"/>
  <c r="N49" i="18"/>
  <c r="O49" i="18" s="1"/>
  <c r="N47" i="18"/>
  <c r="O47" i="18" s="1"/>
  <c r="N44" i="18"/>
  <c r="N45" i="18"/>
  <c r="O45" i="18" s="1"/>
  <c r="N48" i="18"/>
  <c r="O48" i="18" s="1"/>
  <c r="N46" i="18"/>
  <c r="O46" i="18" s="1"/>
  <c r="C61" i="17"/>
  <c r="C67" i="17" s="1"/>
  <c r="F55" i="17"/>
  <c r="B88" i="16"/>
  <c r="E63" i="16"/>
  <c r="B82" i="16"/>
  <c r="P67" i="16"/>
  <c r="Q67" i="16" s="1"/>
  <c r="AA70" i="7"/>
  <c r="AB70" i="7" s="1"/>
  <c r="B94" i="7" s="1"/>
  <c r="AA74" i="7"/>
  <c r="AB74" i="7" s="1"/>
  <c r="B98" i="7" s="1"/>
  <c r="D98" i="7" s="1"/>
  <c r="AA72" i="7"/>
  <c r="AB72" i="7" s="1"/>
  <c r="B96" i="7" s="1"/>
  <c r="AA69" i="7"/>
  <c r="AB69" i="7" s="1"/>
  <c r="B93" i="7" s="1"/>
  <c r="W3" i="20" s="1"/>
  <c r="X3" i="20" s="1"/>
  <c r="W6" i="20"/>
  <c r="X6" i="20" s="1"/>
  <c r="D96" i="7"/>
  <c r="W9" i="20"/>
  <c r="X9" i="20" s="1"/>
  <c r="D99" i="7"/>
  <c r="D95" i="7"/>
  <c r="T56" i="20"/>
  <c r="T65" i="20" s="1"/>
  <c r="V56" i="20"/>
  <c r="V65" i="20" s="1"/>
  <c r="R66" i="20"/>
  <c r="V46" i="20"/>
  <c r="V64" i="20" s="1"/>
  <c r="V35" i="20"/>
  <c r="V63" i="20" s="1"/>
  <c r="V10" i="20"/>
  <c r="V61" i="20" s="1"/>
  <c r="T66" i="20"/>
  <c r="T15" i="8"/>
  <c r="E33" i="8" s="1"/>
  <c r="C53" i="8" s="1"/>
  <c r="AM145" i="1"/>
  <c r="AM124" i="1"/>
  <c r="O14" i="16"/>
  <c r="N15" i="8"/>
  <c r="L15" i="8"/>
  <c r="O15" i="8"/>
  <c r="M15" i="8"/>
  <c r="J21" i="20"/>
  <c r="S17" i="8"/>
  <c r="N14" i="8"/>
  <c r="L14" i="8"/>
  <c r="O14" i="8"/>
  <c r="M14" i="8"/>
  <c r="D20" i="16"/>
  <c r="J20" i="16" s="1"/>
  <c r="O12" i="16" s="1"/>
  <c r="AF86" i="1"/>
  <c r="AF84" i="1"/>
  <c r="AF80" i="1"/>
  <c r="D15" i="16"/>
  <c r="J15" i="16" s="1"/>
  <c r="AF76" i="1"/>
  <c r="D11" i="16"/>
  <c r="J11" i="16" s="1"/>
  <c r="L11" i="16" s="1"/>
  <c r="D9" i="16"/>
  <c r="J9" i="16" s="1"/>
  <c r="AF92" i="1"/>
  <c r="N15" i="16"/>
  <c r="N14" i="16"/>
  <c r="N9" i="16"/>
  <c r="O9" i="16"/>
  <c r="K21" i="20"/>
  <c r="M9" i="16"/>
  <c r="M12" i="16"/>
  <c r="M13" i="16"/>
  <c r="O13" i="16"/>
  <c r="M14" i="16"/>
  <c r="M15" i="16"/>
  <c r="L9" i="16"/>
  <c r="L12" i="16"/>
  <c r="L13" i="16"/>
  <c r="L14" i="16"/>
  <c r="L15" i="16"/>
  <c r="D17" i="16"/>
  <c r="J17" i="16" s="1"/>
  <c r="N11" i="16" s="1"/>
  <c r="I35" i="20"/>
  <c r="T16" i="8"/>
  <c r="E35" i="8" s="1"/>
  <c r="M21" i="20"/>
  <c r="K22" i="20"/>
  <c r="M22" i="20"/>
  <c r="N12" i="16" l="1"/>
  <c r="D82" i="16"/>
  <c r="W27" i="20"/>
  <c r="X27" i="20" s="1"/>
  <c r="D88" i="16"/>
  <c r="W33" i="20"/>
  <c r="X33" i="20" s="1"/>
  <c r="E69" i="16"/>
  <c r="B85" i="16"/>
  <c r="E73" i="16"/>
  <c r="B87" i="16"/>
  <c r="D93" i="7"/>
  <c r="W8" i="20"/>
  <c r="X8" i="20" s="1"/>
  <c r="E49" i="18"/>
  <c r="B70" i="18"/>
  <c r="B69" i="18"/>
  <c r="W51" i="20" s="1"/>
  <c r="E47" i="18"/>
  <c r="B71" i="18"/>
  <c r="E56" i="18"/>
  <c r="E57" i="18"/>
  <c r="B72" i="18"/>
  <c r="E60" i="18"/>
  <c r="E61" i="18"/>
  <c r="B73" i="18"/>
  <c r="B89" i="16"/>
  <c r="W34" i="20" s="1"/>
  <c r="X34" i="20" s="1"/>
  <c r="E76" i="16"/>
  <c r="E79" i="16" s="1"/>
  <c r="B100" i="7"/>
  <c r="W4" i="20"/>
  <c r="X4" i="20" s="1"/>
  <c r="X10" i="20" s="1"/>
  <c r="X61" i="20" s="1"/>
  <c r="X66" i="20" s="1"/>
  <c r="D94" i="7"/>
  <c r="D100" i="7" s="1"/>
  <c r="V66" i="20"/>
  <c r="O11" i="16"/>
  <c r="M11" i="16"/>
  <c r="D13" i="16"/>
  <c r="J13" i="16" s="1"/>
  <c r="L50" i="20"/>
  <c r="J55" i="20"/>
  <c r="I55" i="20"/>
  <c r="J54" i="20"/>
  <c r="I54" i="20"/>
  <c r="J53" i="20"/>
  <c r="I53" i="20"/>
  <c r="J52" i="20"/>
  <c r="I52" i="20"/>
  <c r="J51" i="20"/>
  <c r="I51" i="20"/>
  <c r="J50" i="20"/>
  <c r="I50" i="20"/>
  <c r="A21" i="18"/>
  <c r="A35" i="18" s="1"/>
  <c r="A20" i="18"/>
  <c r="A34" i="18" s="1"/>
  <c r="A13" i="18"/>
  <c r="A33" i="18" s="1"/>
  <c r="D73" i="18" l="1"/>
  <c r="W55" i="20"/>
  <c r="X55" i="20" s="1"/>
  <c r="D71" i="18"/>
  <c r="W53" i="20"/>
  <c r="X53" i="20" s="1"/>
  <c r="X51" i="20"/>
  <c r="D85" i="16"/>
  <c r="W30" i="20"/>
  <c r="D72" i="18"/>
  <c r="W54" i="20"/>
  <c r="X54" i="20" s="1"/>
  <c r="D70" i="18"/>
  <c r="W52" i="20"/>
  <c r="X52" i="20" s="1"/>
  <c r="D87" i="16"/>
  <c r="W32" i="20"/>
  <c r="X32" i="20" s="1"/>
  <c r="D69" i="18"/>
  <c r="D74" i="18" s="1"/>
  <c r="B74" i="18"/>
  <c r="E62" i="18"/>
  <c r="D89" i="16"/>
  <c r="B90" i="16"/>
  <c r="W10" i="20"/>
  <c r="W61" i="20" s="1"/>
  <c r="W66" i="20" s="1"/>
  <c r="J56" i="20"/>
  <c r="K50" i="20"/>
  <c r="O8" i="18"/>
  <c r="K51" i="20"/>
  <c r="K53" i="20"/>
  <c r="K55" i="20"/>
  <c r="I56" i="20"/>
  <c r="M10" i="16"/>
  <c r="N10" i="16"/>
  <c r="O10" i="16"/>
  <c r="L10" i="16"/>
  <c r="K54" i="20"/>
  <c r="K52" i="20"/>
  <c r="D90" i="16" l="1"/>
  <c r="W56" i="20"/>
  <c r="W65" i="20" s="1"/>
  <c r="X30" i="20"/>
  <c r="X35" i="20" s="1"/>
  <c r="X63" i="20" s="1"/>
  <c r="W35" i="20"/>
  <c r="W63" i="20" s="1"/>
  <c r="X56" i="20"/>
  <c r="X65" i="20" s="1"/>
  <c r="K56" i="20"/>
  <c r="A37" i="7"/>
  <c r="AE14" i="7"/>
  <c r="F25" i="7" s="1"/>
  <c r="C38" i="7" s="1"/>
  <c r="D24" i="7"/>
  <c r="U24" i="7" s="1"/>
  <c r="D23" i="7"/>
  <c r="U23" i="7" s="1"/>
  <c r="D16" i="7" l="1"/>
  <c r="U16" i="7" s="1"/>
  <c r="D20" i="7"/>
  <c r="U20" i="7" s="1"/>
  <c r="U26" i="7"/>
  <c r="U27" i="7"/>
  <c r="D9" i="7"/>
  <c r="U9" i="7" s="1"/>
  <c r="D10" i="7"/>
  <c r="U10" i="7" s="1"/>
  <c r="J45" i="20"/>
  <c r="I45" i="20"/>
  <c r="J44" i="20"/>
  <c r="I44" i="20"/>
  <c r="J43" i="20"/>
  <c r="I43" i="20"/>
  <c r="J42" i="20"/>
  <c r="I42" i="20"/>
  <c r="J41" i="20"/>
  <c r="I41" i="20"/>
  <c r="J40" i="20"/>
  <c r="I40" i="20"/>
  <c r="S14" i="17"/>
  <c r="R14" i="17"/>
  <c r="A8" i="17"/>
  <c r="X117" i="1"/>
  <c r="X118" i="1"/>
  <c r="X119" i="1"/>
  <c r="X120" i="1"/>
  <c r="W118" i="1"/>
  <c r="W119" i="1"/>
  <c r="W120" i="1"/>
  <c r="W117" i="1"/>
  <c r="Y118" i="1"/>
  <c r="Y119" i="1"/>
  <c r="Y120" i="1"/>
  <c r="Y117" i="1"/>
  <c r="M28" i="20" l="1"/>
  <c r="M30" i="20"/>
  <c r="M32" i="20"/>
  <c r="M34" i="20"/>
  <c r="X141" i="1"/>
  <c r="X142" i="1"/>
  <c r="X143" i="1"/>
  <c r="X144" i="1"/>
  <c r="X135" i="1"/>
  <c r="X136" i="1"/>
  <c r="X137" i="1"/>
  <c r="X138" i="1"/>
  <c r="X139" i="1"/>
  <c r="X140" i="1"/>
  <c r="X133" i="1"/>
  <c r="X134" i="1"/>
  <c r="X130" i="1"/>
  <c r="X131" i="1"/>
  <c r="X132" i="1"/>
  <c r="X126" i="1"/>
  <c r="X127" i="1"/>
  <c r="X128" i="1"/>
  <c r="X129" i="1"/>
  <c r="X125" i="1"/>
  <c r="W140" i="1"/>
  <c r="W141" i="1"/>
  <c r="Y141" i="1" s="1"/>
  <c r="W142" i="1"/>
  <c r="Y142" i="1" s="1"/>
  <c r="W139" i="1"/>
  <c r="Y139" i="1" s="1"/>
  <c r="W144" i="1"/>
  <c r="W143" i="1"/>
  <c r="Y143" i="1" s="1"/>
  <c r="W138" i="1"/>
  <c r="W132" i="1"/>
  <c r="Y132" i="1" s="1"/>
  <c r="W133" i="1"/>
  <c r="Y133" i="1" s="1"/>
  <c r="W134" i="1"/>
  <c r="W135" i="1"/>
  <c r="Y135" i="1" s="1"/>
  <c r="W136" i="1"/>
  <c r="W137" i="1"/>
  <c r="Y137" i="1" s="1"/>
  <c r="W131" i="1"/>
  <c r="W129" i="1"/>
  <c r="W130" i="1"/>
  <c r="Y130" i="1" s="1"/>
  <c r="W128" i="1"/>
  <c r="Y128" i="1" s="1"/>
  <c r="W126" i="1"/>
  <c r="W127" i="1"/>
  <c r="Y127" i="1" s="1"/>
  <c r="W125" i="1"/>
  <c r="W105" i="1"/>
  <c r="W103" i="1"/>
  <c r="W104" i="1"/>
  <c r="W102" i="1"/>
  <c r="W110" i="1"/>
  <c r="W122" i="1"/>
  <c r="W123" i="1"/>
  <c r="W121" i="1"/>
  <c r="W115" i="1"/>
  <c r="W112"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9" i="1"/>
  <c r="X10" i="1"/>
  <c r="X11" i="1"/>
  <c r="X12" i="1"/>
  <c r="J4" i="20" s="1"/>
  <c r="X13" i="1"/>
  <c r="X14" i="1"/>
  <c r="X15" i="1"/>
  <c r="X16" i="1"/>
  <c r="X17" i="1"/>
  <c r="X18" i="1"/>
  <c r="X19" i="1"/>
  <c r="X20" i="1"/>
  <c r="X21" i="1"/>
  <c r="X22" i="1"/>
  <c r="X23" i="1"/>
  <c r="X24" i="1"/>
  <c r="X25" i="1"/>
  <c r="X26" i="1"/>
  <c r="X27" i="1"/>
  <c r="X28" i="1"/>
  <c r="X29" i="1"/>
  <c r="X30" i="1"/>
  <c r="Y125" i="1" l="1"/>
  <c r="Y126" i="1"/>
  <c r="J8" i="20"/>
  <c r="Y129" i="1"/>
  <c r="J9" i="20"/>
  <c r="J7" i="20"/>
  <c r="J6" i="20"/>
  <c r="J5" i="20"/>
  <c r="J3" i="20"/>
  <c r="Y131" i="1"/>
  <c r="Y134" i="1"/>
  <c r="Y140" i="1"/>
  <c r="Y138" i="1"/>
  <c r="Y136" i="1"/>
  <c r="Y144" i="1"/>
  <c r="M33" i="20"/>
  <c r="M31" i="20"/>
  <c r="M29" i="20"/>
  <c r="M27" i="20"/>
  <c r="M50" i="20"/>
  <c r="M35" i="20" l="1"/>
  <c r="W35" i="1" l="1"/>
  <c r="Y35" i="1" s="1"/>
  <c r="W36" i="1"/>
  <c r="Y36" i="1" s="1"/>
  <c r="W37" i="1"/>
  <c r="W38" i="1"/>
  <c r="Y38" i="1" s="1"/>
  <c r="W39" i="1"/>
  <c r="Y39" i="1" s="1"/>
  <c r="W40" i="1"/>
  <c r="Y40" i="1" s="1"/>
  <c r="W41" i="1"/>
  <c r="Y41" i="1" s="1"/>
  <c r="W42" i="1"/>
  <c r="Y42" i="1" s="1"/>
  <c r="W43" i="1"/>
  <c r="Y43" i="1" s="1"/>
  <c r="W44" i="1"/>
  <c r="Y44" i="1" s="1"/>
  <c r="W45" i="1"/>
  <c r="Y45" i="1" s="1"/>
  <c r="W46" i="1"/>
  <c r="Y46" i="1" s="1"/>
  <c r="W47" i="1"/>
  <c r="Y47" i="1" s="1"/>
  <c r="W48" i="1"/>
  <c r="Y48" i="1" s="1"/>
  <c r="W49" i="1"/>
  <c r="W50" i="1"/>
  <c r="W51" i="1"/>
  <c r="Y51" i="1" s="1"/>
  <c r="W52" i="1"/>
  <c r="W53" i="1"/>
  <c r="Y53" i="1" s="1"/>
  <c r="W55" i="1"/>
  <c r="W59" i="1"/>
  <c r="W61" i="1"/>
  <c r="W62" i="1"/>
  <c r="Y62" i="1" s="1"/>
  <c r="W63" i="1"/>
  <c r="W64" i="1"/>
  <c r="Y64" i="1" s="1"/>
  <c r="W65" i="1"/>
  <c r="Y65" i="1" s="1"/>
  <c r="W66" i="1"/>
  <c r="Y66" i="1" s="1"/>
  <c r="W67" i="1"/>
  <c r="Y67" i="1" s="1"/>
  <c r="W68" i="1"/>
  <c r="Y68" i="1" s="1"/>
  <c r="AJ27" i="1"/>
  <c r="Z27" i="1"/>
  <c r="AA27" i="1"/>
  <c r="AB27" i="1"/>
  <c r="AC27" i="1"/>
  <c r="AD27" i="1"/>
  <c r="AE27" i="1"/>
  <c r="AF27" i="1"/>
  <c r="W27" i="1"/>
  <c r="AG27" i="1" s="1"/>
  <c r="W26" i="1"/>
  <c r="C27" i="1"/>
  <c r="D27" i="1"/>
  <c r="E27" i="1"/>
  <c r="Y27" i="1"/>
  <c r="K21" i="19"/>
  <c r="I27" i="1" s="1"/>
  <c r="V113" i="19"/>
  <c r="V85" i="19"/>
  <c r="T25" i="19"/>
  <c r="U25" i="19"/>
  <c r="T131" i="19"/>
  <c r="U131" i="19"/>
  <c r="T112" i="19"/>
  <c r="U112" i="19"/>
  <c r="T96" i="19"/>
  <c r="U96" i="19"/>
  <c r="U63" i="19"/>
  <c r="T63" i="19"/>
  <c r="D90" i="1"/>
  <c r="C90" i="1"/>
  <c r="R25" i="19"/>
  <c r="S25" i="19"/>
  <c r="R63" i="19"/>
  <c r="S63" i="19"/>
  <c r="R96" i="19"/>
  <c r="S96" i="19"/>
  <c r="R112" i="19"/>
  <c r="S112" i="19"/>
  <c r="S131" i="19"/>
  <c r="S132" i="19" s="1"/>
  <c r="R131" i="19"/>
  <c r="Q63" i="19"/>
  <c r="Q96" i="19"/>
  <c r="Q112" i="19"/>
  <c r="Q131" i="19"/>
  <c r="Q132" i="19" s="1"/>
  <c r="Q25" i="19"/>
  <c r="O25" i="19"/>
  <c r="P25" i="19"/>
  <c r="O63" i="19"/>
  <c r="P63" i="19"/>
  <c r="O96" i="19"/>
  <c r="P96" i="19"/>
  <c r="O112" i="19"/>
  <c r="P112" i="19"/>
  <c r="P131" i="19"/>
  <c r="P132" i="19" s="1"/>
  <c r="O131" i="19"/>
  <c r="O132" i="19" s="1"/>
  <c r="D131" i="19"/>
  <c r="G131" i="19"/>
  <c r="H131" i="19"/>
  <c r="I131" i="19"/>
  <c r="J131" i="19"/>
  <c r="L131" i="19"/>
  <c r="M131" i="19"/>
  <c r="N131" i="19"/>
  <c r="L96" i="19"/>
  <c r="M96" i="19"/>
  <c r="N96" i="19"/>
  <c r="N63" i="19"/>
  <c r="E125" i="1"/>
  <c r="D125" i="1"/>
  <c r="C125" i="1"/>
  <c r="N112" i="19"/>
  <c r="M112" i="19"/>
  <c r="M63" i="19"/>
  <c r="M25" i="19"/>
  <c r="N25" i="19"/>
  <c r="L112" i="19"/>
  <c r="L63" i="19"/>
  <c r="L25" i="19"/>
  <c r="E25" i="19"/>
  <c r="F25" i="19"/>
  <c r="G25" i="19"/>
  <c r="H25" i="19"/>
  <c r="I25" i="19"/>
  <c r="J25" i="19"/>
  <c r="E63" i="19"/>
  <c r="F63" i="19"/>
  <c r="G63" i="19"/>
  <c r="H63" i="19"/>
  <c r="I63" i="19"/>
  <c r="J63" i="19"/>
  <c r="E96" i="19"/>
  <c r="F96" i="19"/>
  <c r="G96" i="19"/>
  <c r="H96" i="19"/>
  <c r="I96" i="19"/>
  <c r="J96" i="19"/>
  <c r="F112" i="19"/>
  <c r="G112" i="19"/>
  <c r="H112" i="19"/>
  <c r="I112" i="19"/>
  <c r="J112" i="19"/>
  <c r="K116" i="19"/>
  <c r="V116" i="19" s="1"/>
  <c r="K118" i="19"/>
  <c r="V118" i="19" s="1"/>
  <c r="K120" i="19"/>
  <c r="V120" i="19" s="1"/>
  <c r="K121" i="19"/>
  <c r="V121" i="19" s="1"/>
  <c r="K122" i="19"/>
  <c r="V122" i="19" s="1"/>
  <c r="K123" i="19"/>
  <c r="V123" i="19" s="1"/>
  <c r="K124" i="19"/>
  <c r="V124" i="19" s="1"/>
  <c r="K125" i="19"/>
  <c r="V125" i="19" s="1"/>
  <c r="K126" i="19"/>
  <c r="V126" i="19" s="1"/>
  <c r="K127" i="19"/>
  <c r="V127" i="19" s="1"/>
  <c r="K128" i="19"/>
  <c r="V128" i="19" s="1"/>
  <c r="K129" i="19"/>
  <c r="V129" i="19" s="1"/>
  <c r="K130" i="19"/>
  <c r="V130" i="19" s="1"/>
  <c r="K114" i="19"/>
  <c r="V114" i="19" s="1"/>
  <c r="K98" i="19"/>
  <c r="V98" i="19" s="1"/>
  <c r="K99" i="19"/>
  <c r="V99" i="19" s="1"/>
  <c r="K100" i="19"/>
  <c r="V100" i="19" s="1"/>
  <c r="K101" i="19"/>
  <c r="V101" i="19" s="1"/>
  <c r="K102" i="19"/>
  <c r="V102" i="19" s="1"/>
  <c r="K103" i="19"/>
  <c r="V103" i="19" s="1"/>
  <c r="K104" i="19"/>
  <c r="V104" i="19" s="1"/>
  <c r="K105" i="19"/>
  <c r="V105" i="19" s="1"/>
  <c r="K106" i="19"/>
  <c r="V106" i="19" s="1"/>
  <c r="K107" i="19"/>
  <c r="V107" i="19" s="1"/>
  <c r="K109" i="19"/>
  <c r="V109" i="19" s="1"/>
  <c r="K110" i="19"/>
  <c r="V110" i="19" s="1"/>
  <c r="K111" i="19"/>
  <c r="V111" i="19" s="1"/>
  <c r="K97" i="19"/>
  <c r="V97" i="19" s="1"/>
  <c r="K66" i="19"/>
  <c r="V66" i="19" s="1"/>
  <c r="K67" i="19"/>
  <c r="V67" i="19" s="1"/>
  <c r="K68" i="19"/>
  <c r="V68" i="19" s="1"/>
  <c r="K69" i="19"/>
  <c r="V69" i="19" s="1"/>
  <c r="K70" i="19"/>
  <c r="V70" i="19" s="1"/>
  <c r="K71" i="19"/>
  <c r="V71" i="19" s="1"/>
  <c r="K72" i="19"/>
  <c r="V72" i="19" s="1"/>
  <c r="K73" i="19"/>
  <c r="V73" i="19" s="1"/>
  <c r="K74" i="19"/>
  <c r="V74" i="19" s="1"/>
  <c r="K75" i="19"/>
  <c r="V75" i="19" s="1"/>
  <c r="K76" i="19"/>
  <c r="V76" i="19" s="1"/>
  <c r="K77" i="19"/>
  <c r="V77" i="19" s="1"/>
  <c r="K78" i="19"/>
  <c r="V78" i="19" s="1"/>
  <c r="K79" i="19"/>
  <c r="V79" i="19" s="1"/>
  <c r="K80" i="19"/>
  <c r="V80" i="19" s="1"/>
  <c r="K81" i="19"/>
  <c r="V81" i="19" s="1"/>
  <c r="K82" i="19"/>
  <c r="V82" i="19" s="1"/>
  <c r="K83" i="19"/>
  <c r="V83" i="19" s="1"/>
  <c r="K84" i="19"/>
  <c r="V84" i="19" s="1"/>
  <c r="K86" i="19"/>
  <c r="V86" i="19" s="1"/>
  <c r="K87" i="19"/>
  <c r="V87" i="19" s="1"/>
  <c r="K88" i="19"/>
  <c r="V88" i="19" s="1"/>
  <c r="K89" i="19"/>
  <c r="V89" i="19" s="1"/>
  <c r="K90" i="19"/>
  <c r="V90" i="19" s="1"/>
  <c r="K91" i="19"/>
  <c r="V91" i="19" s="1"/>
  <c r="K92" i="19"/>
  <c r="V92" i="19" s="1"/>
  <c r="K93" i="19"/>
  <c r="V93" i="19" s="1"/>
  <c r="K94" i="19"/>
  <c r="V94" i="19" s="1"/>
  <c r="K95" i="19"/>
  <c r="V95" i="19" s="1"/>
  <c r="K65" i="19"/>
  <c r="V65" i="19" s="1"/>
  <c r="K34" i="19"/>
  <c r="V34" i="19" s="1"/>
  <c r="K35" i="19"/>
  <c r="V35" i="19" s="1"/>
  <c r="K36" i="19"/>
  <c r="V36" i="19" s="1"/>
  <c r="K37" i="19"/>
  <c r="V37" i="19" s="1"/>
  <c r="K38" i="19"/>
  <c r="V38" i="19" s="1"/>
  <c r="K39" i="19"/>
  <c r="V39" i="19" s="1"/>
  <c r="K40" i="19"/>
  <c r="V40" i="19" s="1"/>
  <c r="K41" i="19"/>
  <c r="V41" i="19" s="1"/>
  <c r="K42" i="19"/>
  <c r="V42" i="19" s="1"/>
  <c r="K43" i="19"/>
  <c r="V43" i="19" s="1"/>
  <c r="K44" i="19"/>
  <c r="V44" i="19" s="1"/>
  <c r="K45" i="19"/>
  <c r="V45" i="19" s="1"/>
  <c r="K46" i="19"/>
  <c r="V46" i="19" s="1"/>
  <c r="K47" i="19"/>
  <c r="V47" i="19" s="1"/>
  <c r="K48" i="19"/>
  <c r="V48" i="19" s="1"/>
  <c r="K49" i="19"/>
  <c r="V49" i="19" s="1"/>
  <c r="K50" i="19"/>
  <c r="V50" i="19" s="1"/>
  <c r="K51" i="19"/>
  <c r="V51" i="19" s="1"/>
  <c r="K52" i="19"/>
  <c r="V52" i="19" s="1"/>
  <c r="K53" i="19"/>
  <c r="V53" i="19" s="1"/>
  <c r="K54" i="19"/>
  <c r="V54" i="19" s="1"/>
  <c r="K55" i="19"/>
  <c r="V55" i="19" s="1"/>
  <c r="K56" i="19"/>
  <c r="V56" i="19" s="1"/>
  <c r="K57" i="19"/>
  <c r="V57" i="19" s="1"/>
  <c r="K58" i="19"/>
  <c r="V58" i="19" s="1"/>
  <c r="K59" i="19"/>
  <c r="V59" i="19" s="1"/>
  <c r="K60" i="19"/>
  <c r="V60" i="19" s="1"/>
  <c r="K61" i="19"/>
  <c r="V61" i="19" s="1"/>
  <c r="K62" i="19"/>
  <c r="V62" i="19" s="1"/>
  <c r="K3" i="19"/>
  <c r="K4" i="19"/>
  <c r="K5" i="19"/>
  <c r="K6" i="19"/>
  <c r="K7" i="19"/>
  <c r="K8" i="19"/>
  <c r="K9" i="19"/>
  <c r="K10" i="19"/>
  <c r="K11" i="19"/>
  <c r="K12" i="19"/>
  <c r="K13" i="19"/>
  <c r="K14" i="19"/>
  <c r="K15" i="19"/>
  <c r="K16" i="19"/>
  <c r="K17" i="19"/>
  <c r="K18" i="19"/>
  <c r="K19" i="19"/>
  <c r="K20" i="19"/>
  <c r="K22" i="19"/>
  <c r="K23" i="19"/>
  <c r="K26" i="19"/>
  <c r="V26" i="19" s="1"/>
  <c r="K27" i="19"/>
  <c r="V27" i="19" s="1"/>
  <c r="K28" i="19"/>
  <c r="V28" i="19" s="1"/>
  <c r="K29" i="19"/>
  <c r="V29" i="19" s="1"/>
  <c r="K30" i="19"/>
  <c r="V30" i="19" s="1"/>
  <c r="K31" i="19"/>
  <c r="V31" i="19" s="1"/>
  <c r="K32" i="19"/>
  <c r="V32" i="19" s="1"/>
  <c r="K33" i="19"/>
  <c r="V33" i="19" s="1"/>
  <c r="K24" i="19"/>
  <c r="I30" i="1" s="1"/>
  <c r="T132" i="19" l="1"/>
  <c r="V63" i="19"/>
  <c r="V23" i="19"/>
  <c r="I29" i="1"/>
  <c r="V20" i="19"/>
  <c r="I26" i="1"/>
  <c r="V18" i="19"/>
  <c r="I24" i="1"/>
  <c r="V16" i="19"/>
  <c r="I22" i="1"/>
  <c r="V14" i="19"/>
  <c r="I20" i="1"/>
  <c r="V12" i="19"/>
  <c r="I18" i="1"/>
  <c r="V10" i="19"/>
  <c r="I16" i="1"/>
  <c r="V8" i="19"/>
  <c r="I14" i="1"/>
  <c r="V6" i="19"/>
  <c r="I12" i="1"/>
  <c r="V4" i="19"/>
  <c r="I10" i="1"/>
  <c r="B31" i="20"/>
  <c r="V22" i="19"/>
  <c r="I28" i="1"/>
  <c r="V19" i="19"/>
  <c r="I25" i="1"/>
  <c r="V17" i="19"/>
  <c r="I23" i="1"/>
  <c r="V15" i="19"/>
  <c r="I21" i="1"/>
  <c r="V13" i="19"/>
  <c r="I19" i="1"/>
  <c r="V11" i="19"/>
  <c r="I17" i="1"/>
  <c r="V9" i="19"/>
  <c r="I15" i="1"/>
  <c r="V7" i="19"/>
  <c r="I13" i="1"/>
  <c r="V5" i="19"/>
  <c r="I11" i="1"/>
  <c r="V3" i="19"/>
  <c r="I9" i="1"/>
  <c r="R132" i="19"/>
  <c r="U132" i="19"/>
  <c r="V24" i="19"/>
  <c r="V21" i="19"/>
  <c r="I8" i="20"/>
  <c r="M8" i="20" s="1"/>
  <c r="Y63" i="1"/>
  <c r="Y61" i="1"/>
  <c r="Y59" i="1"/>
  <c r="Y55" i="1"/>
  <c r="Y52" i="1"/>
  <c r="M17" i="20"/>
  <c r="Y50" i="1"/>
  <c r="M15" i="20"/>
  <c r="Y37" i="1"/>
  <c r="M16" i="20"/>
  <c r="Y49" i="1"/>
  <c r="AH27" i="1"/>
  <c r="AI27" i="1" s="1"/>
  <c r="J132" i="19"/>
  <c r="M132" i="19"/>
  <c r="L132" i="19"/>
  <c r="I132" i="19"/>
  <c r="N132" i="19"/>
  <c r="N134" i="19" s="1"/>
  <c r="K63" i="19"/>
  <c r="K25" i="19"/>
  <c r="V25" i="19" s="1"/>
  <c r="K96" i="19"/>
  <c r="K64" i="19" l="1"/>
  <c r="V64" i="19" s="1"/>
  <c r="V96" i="19" s="1"/>
  <c r="F119" i="19"/>
  <c r="E115" i="19"/>
  <c r="E117" i="19"/>
  <c r="K117" i="19" s="1"/>
  <c r="V117" i="19" s="1"/>
  <c r="E108" i="19"/>
  <c r="F131" i="19" l="1"/>
  <c r="K119" i="19"/>
  <c r="V119" i="19" s="1"/>
  <c r="E112" i="19"/>
  <c r="K108" i="19"/>
  <c r="K115" i="19"/>
  <c r="E131" i="19"/>
  <c r="AJ126" i="1"/>
  <c r="AJ127" i="1"/>
  <c r="AJ128" i="1"/>
  <c r="AJ129" i="1"/>
  <c r="AJ130" i="1"/>
  <c r="AJ131" i="1"/>
  <c r="AJ132" i="1"/>
  <c r="AJ133" i="1"/>
  <c r="AJ134" i="1"/>
  <c r="AJ135" i="1"/>
  <c r="AJ136" i="1"/>
  <c r="AJ137" i="1"/>
  <c r="AJ138" i="1"/>
  <c r="AJ139" i="1"/>
  <c r="AJ140" i="1"/>
  <c r="AJ141" i="1"/>
  <c r="AJ142" i="1"/>
  <c r="AJ143" i="1"/>
  <c r="AJ144" i="1"/>
  <c r="AJ125" i="1"/>
  <c r="AB125" i="1"/>
  <c r="AD125" i="1"/>
  <c r="AB126" i="1"/>
  <c r="AD126" i="1"/>
  <c r="AB127" i="1"/>
  <c r="AD127" i="1"/>
  <c r="AB128" i="1"/>
  <c r="AD128" i="1"/>
  <c r="AB129" i="1"/>
  <c r="AD129" i="1"/>
  <c r="AB130" i="1"/>
  <c r="AD130" i="1"/>
  <c r="AB131" i="1"/>
  <c r="AD131" i="1"/>
  <c r="AB132" i="1"/>
  <c r="AD132" i="1"/>
  <c r="AB133" i="1"/>
  <c r="AD133" i="1"/>
  <c r="AB134" i="1"/>
  <c r="AD134" i="1"/>
  <c r="AB135" i="1"/>
  <c r="AD135" i="1"/>
  <c r="AB136" i="1"/>
  <c r="AD136" i="1"/>
  <c r="AA137" i="1"/>
  <c r="AB137" i="1"/>
  <c r="AC137" i="1"/>
  <c r="AD137" i="1"/>
  <c r="AE137" i="1"/>
  <c r="AF137" i="1"/>
  <c r="AB138" i="1"/>
  <c r="AD138" i="1"/>
  <c r="AB139" i="1"/>
  <c r="AD139" i="1"/>
  <c r="AB140" i="1"/>
  <c r="AD140" i="1"/>
  <c r="AB141" i="1"/>
  <c r="AD141" i="1"/>
  <c r="AB142" i="1"/>
  <c r="AD142" i="1"/>
  <c r="AB143" i="1"/>
  <c r="AD143" i="1"/>
  <c r="AB144" i="1"/>
  <c r="AD144" i="1"/>
  <c r="Z126" i="1"/>
  <c r="Z127" i="1"/>
  <c r="Z128" i="1"/>
  <c r="Z129" i="1"/>
  <c r="Z130" i="1"/>
  <c r="Z131" i="1"/>
  <c r="Z132" i="1"/>
  <c r="Z133" i="1"/>
  <c r="Z134" i="1"/>
  <c r="Z135" i="1"/>
  <c r="Z136" i="1"/>
  <c r="Z137" i="1"/>
  <c r="Z138" i="1"/>
  <c r="Z139" i="1"/>
  <c r="Z140" i="1"/>
  <c r="Z141" i="1"/>
  <c r="Z142" i="1"/>
  <c r="Z143" i="1"/>
  <c r="Z144" i="1"/>
  <c r="Z125" i="1"/>
  <c r="V129" i="1"/>
  <c r="V130" i="1"/>
  <c r="V131" i="1"/>
  <c r="V132" i="1"/>
  <c r="V133" i="1"/>
  <c r="V134" i="1"/>
  <c r="V135" i="1"/>
  <c r="V136" i="1"/>
  <c r="V137" i="1"/>
  <c r="V138" i="1"/>
  <c r="V139" i="1"/>
  <c r="V140" i="1"/>
  <c r="V141" i="1"/>
  <c r="V142" i="1"/>
  <c r="V143" i="1"/>
  <c r="V144" i="1"/>
  <c r="V128" i="1"/>
  <c r="T126" i="1"/>
  <c r="S128" i="1"/>
  <c r="T129" i="1"/>
  <c r="S130" i="1"/>
  <c r="S131" i="1"/>
  <c r="S133" i="1"/>
  <c r="S134" i="1"/>
  <c r="S135" i="1"/>
  <c r="T135" i="1"/>
  <c r="S136" i="1"/>
  <c r="T136" i="1"/>
  <c r="S137" i="1"/>
  <c r="T137" i="1"/>
  <c r="S138" i="1"/>
  <c r="T138" i="1"/>
  <c r="S139" i="1"/>
  <c r="T139" i="1"/>
  <c r="S140" i="1"/>
  <c r="T140" i="1"/>
  <c r="S142" i="1"/>
  <c r="T142" i="1"/>
  <c r="S143" i="1"/>
  <c r="T144" i="1"/>
  <c r="N143" i="1"/>
  <c r="P143" i="1"/>
  <c r="N144" i="1"/>
  <c r="P144" i="1"/>
  <c r="L144" i="1"/>
  <c r="L143" i="1"/>
  <c r="N139" i="1"/>
  <c r="P139" i="1"/>
  <c r="N140" i="1"/>
  <c r="P140" i="1"/>
  <c r="N141" i="1"/>
  <c r="P141" i="1"/>
  <c r="N142" i="1"/>
  <c r="P142" i="1"/>
  <c r="L140" i="1"/>
  <c r="L141" i="1"/>
  <c r="L142" i="1"/>
  <c r="L139" i="1"/>
  <c r="N138" i="1"/>
  <c r="P138" i="1"/>
  <c r="L138" i="1"/>
  <c r="N131" i="1"/>
  <c r="P131" i="1"/>
  <c r="N132" i="1"/>
  <c r="P132" i="1"/>
  <c r="N133" i="1"/>
  <c r="P133" i="1"/>
  <c r="N134" i="1"/>
  <c r="P134" i="1"/>
  <c r="N135" i="1"/>
  <c r="P135" i="1"/>
  <c r="N136" i="1"/>
  <c r="P136" i="1"/>
  <c r="M137" i="1"/>
  <c r="N137" i="1"/>
  <c r="O137" i="1"/>
  <c r="P137" i="1"/>
  <c r="Q137" i="1"/>
  <c r="R137" i="1"/>
  <c r="L132" i="1"/>
  <c r="L133" i="1"/>
  <c r="L134" i="1"/>
  <c r="L135" i="1"/>
  <c r="L136" i="1"/>
  <c r="L137" i="1"/>
  <c r="L131" i="1"/>
  <c r="N128" i="1"/>
  <c r="P128" i="1"/>
  <c r="N129" i="1"/>
  <c r="P129" i="1"/>
  <c r="N130" i="1"/>
  <c r="P130" i="1"/>
  <c r="L129" i="1"/>
  <c r="L130" i="1"/>
  <c r="L128" i="1"/>
  <c r="J144" i="1"/>
  <c r="J143" i="1"/>
  <c r="J140" i="1"/>
  <c r="J141" i="1"/>
  <c r="J142" i="1"/>
  <c r="J139" i="1"/>
  <c r="J138" i="1"/>
  <c r="J132" i="1"/>
  <c r="J133" i="1"/>
  <c r="J134" i="1"/>
  <c r="J135" i="1"/>
  <c r="J136" i="1"/>
  <c r="J137" i="1"/>
  <c r="J131" i="1"/>
  <c r="J129" i="1"/>
  <c r="J130" i="1"/>
  <c r="J128" i="1"/>
  <c r="AJ122" i="1"/>
  <c r="AJ123" i="1"/>
  <c r="AJ121" i="1"/>
  <c r="AJ118" i="1"/>
  <c r="AJ119" i="1"/>
  <c r="AJ120" i="1"/>
  <c r="AJ117" i="1"/>
  <c r="AJ116" i="1"/>
  <c r="AJ115" i="1"/>
  <c r="AJ113" i="1"/>
  <c r="AJ114" i="1"/>
  <c r="AJ112" i="1"/>
  <c r="AJ111" i="1"/>
  <c r="AJ110" i="1"/>
  <c r="AJ109" i="1"/>
  <c r="AJ108" i="1"/>
  <c r="AJ107" i="1"/>
  <c r="AJ106" i="1"/>
  <c r="AJ103" i="1"/>
  <c r="AJ104" i="1"/>
  <c r="AJ105" i="1"/>
  <c r="AJ102" i="1"/>
  <c r="AB121" i="1"/>
  <c r="AD121" i="1"/>
  <c r="AB122" i="1"/>
  <c r="AD122" i="1"/>
  <c r="AB123" i="1"/>
  <c r="AD123" i="1"/>
  <c r="Z122" i="1"/>
  <c r="Z123" i="1"/>
  <c r="Z121" i="1"/>
  <c r="AB117" i="1"/>
  <c r="AD117" i="1"/>
  <c r="AA118" i="1"/>
  <c r="AB118" i="1"/>
  <c r="AC118" i="1"/>
  <c r="AD118" i="1"/>
  <c r="AE118" i="1"/>
  <c r="AA119" i="1"/>
  <c r="AB119" i="1"/>
  <c r="AC119" i="1"/>
  <c r="AD119" i="1"/>
  <c r="AE119" i="1"/>
  <c r="AA120" i="1"/>
  <c r="AB120" i="1"/>
  <c r="AC120" i="1"/>
  <c r="AD120" i="1"/>
  <c r="AE120" i="1"/>
  <c r="Z118" i="1"/>
  <c r="Z119" i="1"/>
  <c r="Z120" i="1"/>
  <c r="Z117" i="1"/>
  <c r="AB115" i="1"/>
  <c r="AD115" i="1"/>
  <c r="AF115" i="1"/>
  <c r="AA116" i="1"/>
  <c r="AB116" i="1"/>
  <c r="AC116" i="1"/>
  <c r="AD116" i="1"/>
  <c r="AE116" i="1"/>
  <c r="Z116" i="1"/>
  <c r="Z115" i="1"/>
  <c r="AB112" i="1"/>
  <c r="AD112" i="1"/>
  <c r="AA113" i="1"/>
  <c r="AB113" i="1"/>
  <c r="AC113" i="1"/>
  <c r="AD113" i="1"/>
  <c r="AE113" i="1"/>
  <c r="AF113" i="1"/>
  <c r="AA114" i="1"/>
  <c r="AB114" i="1"/>
  <c r="AC114" i="1"/>
  <c r="AD114" i="1"/>
  <c r="AE114" i="1"/>
  <c r="AF114" i="1"/>
  <c r="Z113" i="1"/>
  <c r="Z114" i="1"/>
  <c r="Z112" i="1"/>
  <c r="AB110" i="1"/>
  <c r="AD110" i="1"/>
  <c r="Z110" i="1"/>
  <c r="AA109" i="1"/>
  <c r="AB109" i="1"/>
  <c r="AC109" i="1"/>
  <c r="AD109" i="1"/>
  <c r="AE109" i="1"/>
  <c r="AF109" i="1"/>
  <c r="Z109" i="1"/>
  <c r="AB108" i="1"/>
  <c r="AD108" i="1"/>
  <c r="Z108" i="1"/>
  <c r="AB107" i="1"/>
  <c r="AD107" i="1"/>
  <c r="Z107" i="1"/>
  <c r="AB106" i="1"/>
  <c r="AD106" i="1"/>
  <c r="Z106" i="1"/>
  <c r="AB105" i="1"/>
  <c r="AD105" i="1"/>
  <c r="Z105" i="1"/>
  <c r="AB102" i="1"/>
  <c r="AD102" i="1"/>
  <c r="AB103" i="1"/>
  <c r="AD103" i="1"/>
  <c r="AB104" i="1"/>
  <c r="AD104" i="1"/>
  <c r="Z103" i="1"/>
  <c r="Z104" i="1"/>
  <c r="Z102" i="1"/>
  <c r="X108" i="1"/>
  <c r="X107" i="1"/>
  <c r="X122" i="1"/>
  <c r="X123" i="1"/>
  <c r="X121" i="1"/>
  <c r="Y121" i="1" s="1"/>
  <c r="X115" i="1"/>
  <c r="X112" i="1"/>
  <c r="X110" i="1"/>
  <c r="X106" i="1"/>
  <c r="X109" i="1"/>
  <c r="Y109" i="1" s="1"/>
  <c r="X105" i="1"/>
  <c r="Y105" i="1" s="1"/>
  <c r="X103" i="1"/>
  <c r="Y103" i="1" s="1"/>
  <c r="X104" i="1"/>
  <c r="Y104" i="1" s="1"/>
  <c r="X102" i="1"/>
  <c r="V122" i="1"/>
  <c r="V123" i="1"/>
  <c r="V121" i="1"/>
  <c r="V118" i="1"/>
  <c r="V119" i="1"/>
  <c r="V120" i="1"/>
  <c r="V117" i="1"/>
  <c r="V115" i="1"/>
  <c r="V113" i="1"/>
  <c r="V114" i="1"/>
  <c r="V112" i="1"/>
  <c r="V111" i="1"/>
  <c r="V110" i="1"/>
  <c r="V109" i="1"/>
  <c r="V108" i="1"/>
  <c r="V107" i="1"/>
  <c r="V106" i="1"/>
  <c r="V103" i="1"/>
  <c r="V104" i="1"/>
  <c r="V102" i="1"/>
  <c r="N123" i="1"/>
  <c r="P123" i="1"/>
  <c r="L123" i="1"/>
  <c r="N121" i="1"/>
  <c r="P121" i="1"/>
  <c r="N122" i="1"/>
  <c r="P122" i="1"/>
  <c r="L122" i="1"/>
  <c r="L121" i="1"/>
  <c r="N117" i="1"/>
  <c r="P117" i="1"/>
  <c r="N118" i="1"/>
  <c r="P118" i="1"/>
  <c r="N119" i="1"/>
  <c r="P119" i="1"/>
  <c r="N120" i="1"/>
  <c r="P120" i="1"/>
  <c r="L118" i="1"/>
  <c r="L119" i="1"/>
  <c r="L120" i="1"/>
  <c r="L117" i="1"/>
  <c r="N115" i="1"/>
  <c r="P115" i="1"/>
  <c r="N116" i="1"/>
  <c r="P116" i="1"/>
  <c r="L116" i="1"/>
  <c r="L115" i="1"/>
  <c r="N112" i="1"/>
  <c r="P112" i="1"/>
  <c r="N113" i="1"/>
  <c r="P113" i="1"/>
  <c r="N114" i="1"/>
  <c r="P114" i="1"/>
  <c r="R114" i="1"/>
  <c r="L113" i="1"/>
  <c r="L114" i="1"/>
  <c r="L112" i="1"/>
  <c r="N110" i="1"/>
  <c r="P110" i="1"/>
  <c r="N111" i="1"/>
  <c r="P111" i="1"/>
  <c r="L111" i="1"/>
  <c r="L110" i="1"/>
  <c r="M109" i="1"/>
  <c r="N109" i="1"/>
  <c r="O109" i="1"/>
  <c r="P109" i="1"/>
  <c r="Q109" i="1"/>
  <c r="L109" i="1"/>
  <c r="N108" i="1"/>
  <c r="P108" i="1"/>
  <c r="L108" i="1"/>
  <c r="N107" i="1"/>
  <c r="P107" i="1"/>
  <c r="L107" i="1"/>
  <c r="N106" i="1"/>
  <c r="P106" i="1"/>
  <c r="L106" i="1"/>
  <c r="L103" i="1"/>
  <c r="N103" i="1"/>
  <c r="P103" i="1"/>
  <c r="L104" i="1"/>
  <c r="N104" i="1"/>
  <c r="P104" i="1"/>
  <c r="L105" i="1"/>
  <c r="N105" i="1"/>
  <c r="P105" i="1"/>
  <c r="N102" i="1"/>
  <c r="P102" i="1"/>
  <c r="L102" i="1"/>
  <c r="N9" i="1"/>
  <c r="P9" i="1"/>
  <c r="N10" i="1"/>
  <c r="P10" i="1"/>
  <c r="R10" i="1"/>
  <c r="N11" i="1"/>
  <c r="P11" i="1"/>
  <c r="R11" i="1"/>
  <c r="L9" i="1"/>
  <c r="J122" i="1"/>
  <c r="J121" i="1"/>
  <c r="J123" i="1"/>
  <c r="J117" i="1"/>
  <c r="J115" i="1"/>
  <c r="J112" i="1"/>
  <c r="J110" i="1"/>
  <c r="J108" i="1"/>
  <c r="J102" i="1"/>
  <c r="J109" i="1"/>
  <c r="J107" i="1"/>
  <c r="J103" i="1"/>
  <c r="J104" i="1"/>
  <c r="J105" i="1"/>
  <c r="J106" i="1"/>
  <c r="R109" i="1"/>
  <c r="R113" i="1"/>
  <c r="AJ71" i="1"/>
  <c r="AJ72" i="1"/>
  <c r="AJ73" i="1"/>
  <c r="AJ74" i="1"/>
  <c r="AJ75" i="1"/>
  <c r="AJ76" i="1"/>
  <c r="AJ77" i="1"/>
  <c r="AJ78" i="1"/>
  <c r="AJ79" i="1"/>
  <c r="AJ80" i="1"/>
  <c r="AJ81" i="1"/>
  <c r="AJ82" i="1"/>
  <c r="AJ83" i="1"/>
  <c r="AJ84" i="1"/>
  <c r="AJ85" i="1"/>
  <c r="AJ86" i="1"/>
  <c r="AJ87" i="1"/>
  <c r="AJ88" i="1"/>
  <c r="AJ89" i="1"/>
  <c r="AJ91" i="1"/>
  <c r="AJ92" i="1"/>
  <c r="AJ93" i="1"/>
  <c r="AJ94" i="1"/>
  <c r="AJ95" i="1"/>
  <c r="AJ96" i="1"/>
  <c r="AJ97" i="1"/>
  <c r="AJ98" i="1"/>
  <c r="AJ99" i="1"/>
  <c r="AJ100" i="1"/>
  <c r="AJ70" i="1"/>
  <c r="J98" i="1"/>
  <c r="J99" i="1"/>
  <c r="J100" i="1"/>
  <c r="J97" i="1"/>
  <c r="J96" i="1"/>
  <c r="J95" i="1"/>
  <c r="J91" i="1"/>
  <c r="J89" i="1"/>
  <c r="J88" i="1"/>
  <c r="J83" i="1"/>
  <c r="J84" i="1"/>
  <c r="J85" i="1"/>
  <c r="J86" i="1"/>
  <c r="J87" i="1"/>
  <c r="J82" i="1"/>
  <c r="J75" i="1"/>
  <c r="J76" i="1"/>
  <c r="J77" i="1"/>
  <c r="J78" i="1"/>
  <c r="J79" i="1"/>
  <c r="J80" i="1"/>
  <c r="J81" i="1"/>
  <c r="J74" i="1"/>
  <c r="J73" i="1"/>
  <c r="J71" i="1"/>
  <c r="J72" i="1"/>
  <c r="J70" i="1"/>
  <c r="L71" i="1"/>
  <c r="N71" i="1"/>
  <c r="P71" i="1"/>
  <c r="L72" i="1"/>
  <c r="N72" i="1"/>
  <c r="P72" i="1"/>
  <c r="L73" i="1"/>
  <c r="N73" i="1"/>
  <c r="P73" i="1"/>
  <c r="L74" i="1"/>
  <c r="N74" i="1"/>
  <c r="P74" i="1"/>
  <c r="L75" i="1"/>
  <c r="N75" i="1"/>
  <c r="P75" i="1"/>
  <c r="L76" i="1"/>
  <c r="N76" i="1"/>
  <c r="P76" i="1"/>
  <c r="L77" i="1"/>
  <c r="N77" i="1"/>
  <c r="P77" i="1"/>
  <c r="L78" i="1"/>
  <c r="N78" i="1"/>
  <c r="P78" i="1"/>
  <c r="L79" i="1"/>
  <c r="N79" i="1"/>
  <c r="P79" i="1"/>
  <c r="L80" i="1"/>
  <c r="N80" i="1"/>
  <c r="P80" i="1"/>
  <c r="L81" i="1"/>
  <c r="N81" i="1"/>
  <c r="P81" i="1"/>
  <c r="L82" i="1"/>
  <c r="N82" i="1"/>
  <c r="P82" i="1"/>
  <c r="L83" i="1"/>
  <c r="M83" i="1"/>
  <c r="N83" i="1"/>
  <c r="O83" i="1"/>
  <c r="P83" i="1"/>
  <c r="Q83" i="1"/>
  <c r="R83" i="1"/>
  <c r="L84" i="1"/>
  <c r="M84" i="1"/>
  <c r="N84" i="1"/>
  <c r="O84" i="1"/>
  <c r="P84" i="1"/>
  <c r="Q84" i="1"/>
  <c r="R84" i="1"/>
  <c r="L85" i="1"/>
  <c r="M85" i="1"/>
  <c r="N85" i="1"/>
  <c r="O85" i="1"/>
  <c r="P85" i="1"/>
  <c r="Q85" i="1"/>
  <c r="R85" i="1"/>
  <c r="L86" i="1"/>
  <c r="M86" i="1"/>
  <c r="N86" i="1"/>
  <c r="O86" i="1"/>
  <c r="P86" i="1"/>
  <c r="Q86" i="1"/>
  <c r="R86" i="1"/>
  <c r="L87" i="1"/>
  <c r="M87" i="1"/>
  <c r="N87" i="1"/>
  <c r="O87" i="1"/>
  <c r="P87" i="1"/>
  <c r="Q87" i="1"/>
  <c r="R87" i="1"/>
  <c r="L88" i="1"/>
  <c r="N88" i="1"/>
  <c r="P88" i="1"/>
  <c r="L89" i="1"/>
  <c r="N89" i="1"/>
  <c r="P89" i="1"/>
  <c r="L91" i="1"/>
  <c r="N91" i="1"/>
  <c r="P91" i="1"/>
  <c r="L92" i="1"/>
  <c r="N92" i="1"/>
  <c r="P92" i="1"/>
  <c r="L93" i="1"/>
  <c r="N93" i="1"/>
  <c r="P93" i="1"/>
  <c r="L94" i="1"/>
  <c r="N94" i="1"/>
  <c r="P94" i="1"/>
  <c r="L95" i="1"/>
  <c r="N95" i="1"/>
  <c r="P95" i="1"/>
  <c r="L96" i="1"/>
  <c r="N96" i="1"/>
  <c r="P96" i="1"/>
  <c r="L97" i="1"/>
  <c r="N97" i="1"/>
  <c r="P97" i="1"/>
  <c r="L98" i="1"/>
  <c r="N98" i="1"/>
  <c r="P98" i="1"/>
  <c r="L99" i="1"/>
  <c r="N99" i="1"/>
  <c r="P99" i="1"/>
  <c r="L100" i="1"/>
  <c r="N100" i="1"/>
  <c r="P100" i="1"/>
  <c r="N70" i="1"/>
  <c r="P70" i="1"/>
  <c r="L70" i="1"/>
  <c r="AE71" i="1"/>
  <c r="AE72" i="1"/>
  <c r="AE73" i="1"/>
  <c r="AE74" i="1"/>
  <c r="AE75" i="1"/>
  <c r="AE76" i="1"/>
  <c r="AE77" i="1"/>
  <c r="AE78" i="1"/>
  <c r="AE79" i="1"/>
  <c r="AE80" i="1"/>
  <c r="AE81" i="1"/>
  <c r="AE82" i="1"/>
  <c r="AE83" i="1"/>
  <c r="AE84" i="1"/>
  <c r="AE85" i="1"/>
  <c r="AE86" i="1"/>
  <c r="AE87" i="1"/>
  <c r="AE88" i="1"/>
  <c r="AE89" i="1"/>
  <c r="AE91" i="1"/>
  <c r="AE92" i="1"/>
  <c r="AE93" i="1"/>
  <c r="AE94" i="1"/>
  <c r="AE95" i="1"/>
  <c r="AE96" i="1"/>
  <c r="AE97" i="1"/>
  <c r="AE98" i="1"/>
  <c r="AE99" i="1"/>
  <c r="AE100" i="1"/>
  <c r="AE70" i="1"/>
  <c r="AC71" i="1"/>
  <c r="AC72" i="1"/>
  <c r="AC73" i="1"/>
  <c r="AC74" i="1"/>
  <c r="AC75" i="1"/>
  <c r="AC76" i="1"/>
  <c r="AC77" i="1"/>
  <c r="AC78" i="1"/>
  <c r="AC79" i="1"/>
  <c r="AC80" i="1"/>
  <c r="AC81" i="1"/>
  <c r="AC82" i="1"/>
  <c r="AC83" i="1"/>
  <c r="AC84" i="1"/>
  <c r="AC85" i="1"/>
  <c r="AC86" i="1"/>
  <c r="AC87" i="1"/>
  <c r="AC88" i="1"/>
  <c r="AC89" i="1"/>
  <c r="AC91" i="1"/>
  <c r="AC92" i="1"/>
  <c r="AC93" i="1"/>
  <c r="AC94" i="1"/>
  <c r="AC95" i="1"/>
  <c r="AC96" i="1"/>
  <c r="AC97" i="1"/>
  <c r="AC98" i="1"/>
  <c r="AC99" i="1"/>
  <c r="AC100" i="1"/>
  <c r="AC70" i="1"/>
  <c r="AA71" i="1"/>
  <c r="AA72" i="1"/>
  <c r="AA73" i="1"/>
  <c r="AA74" i="1"/>
  <c r="AA75" i="1"/>
  <c r="AA76" i="1"/>
  <c r="AA77" i="1"/>
  <c r="AA78" i="1"/>
  <c r="AA79" i="1"/>
  <c r="AA80" i="1"/>
  <c r="AA81" i="1"/>
  <c r="AA82" i="1"/>
  <c r="AA83" i="1"/>
  <c r="AA84" i="1"/>
  <c r="AA85" i="1"/>
  <c r="AA86" i="1"/>
  <c r="AA87" i="1"/>
  <c r="AA88" i="1"/>
  <c r="AA89" i="1"/>
  <c r="AA91" i="1"/>
  <c r="AA92" i="1"/>
  <c r="AA93" i="1"/>
  <c r="AA94" i="1"/>
  <c r="AA95" i="1"/>
  <c r="AA96" i="1"/>
  <c r="AA97" i="1"/>
  <c r="AA98" i="1"/>
  <c r="AA99" i="1"/>
  <c r="AA100" i="1"/>
  <c r="AA70" i="1"/>
  <c r="AF100" i="1"/>
  <c r="AF99" i="1"/>
  <c r="AF98" i="1"/>
  <c r="AF96" i="1"/>
  <c r="AF95" i="1"/>
  <c r="AF91" i="1"/>
  <c r="AF89" i="1"/>
  <c r="AF88" i="1"/>
  <c r="AF79" i="1"/>
  <c r="AF78" i="1"/>
  <c r="AF77" i="1"/>
  <c r="AF75" i="1"/>
  <c r="AF74" i="1"/>
  <c r="AF73" i="1"/>
  <c r="AF72" i="1"/>
  <c r="AF71"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32" i="1"/>
  <c r="Z33" i="1"/>
  <c r="AB33" i="1"/>
  <c r="AD33" i="1"/>
  <c r="Z34" i="1"/>
  <c r="AB34" i="1"/>
  <c r="AD34" i="1"/>
  <c r="Z35" i="1"/>
  <c r="AB35" i="1"/>
  <c r="AD35" i="1"/>
  <c r="Z36" i="1"/>
  <c r="AB36" i="1"/>
  <c r="AD36" i="1"/>
  <c r="Z37" i="1"/>
  <c r="AB37" i="1"/>
  <c r="AD37" i="1"/>
  <c r="Z38" i="1"/>
  <c r="AB38" i="1"/>
  <c r="AD38" i="1"/>
  <c r="Z39" i="1"/>
  <c r="AB39" i="1"/>
  <c r="AD39" i="1"/>
  <c r="Z40" i="1"/>
  <c r="AB40" i="1"/>
  <c r="AD40" i="1"/>
  <c r="Z41" i="1"/>
  <c r="AB41" i="1"/>
  <c r="AD41" i="1"/>
  <c r="AF41" i="1"/>
  <c r="Z42" i="1"/>
  <c r="AB42" i="1"/>
  <c r="AD42" i="1"/>
  <c r="AF42" i="1"/>
  <c r="Z43" i="1"/>
  <c r="AB43" i="1"/>
  <c r="AD43" i="1"/>
  <c r="Z44" i="1"/>
  <c r="AB44" i="1"/>
  <c r="AD44" i="1"/>
  <c r="Z45" i="1"/>
  <c r="AB45" i="1"/>
  <c r="AD45" i="1"/>
  <c r="Z46" i="1"/>
  <c r="AB46" i="1"/>
  <c r="AD46" i="1"/>
  <c r="Z47" i="1"/>
  <c r="AB47" i="1"/>
  <c r="AD47" i="1"/>
  <c r="AF47" i="1"/>
  <c r="Z48" i="1"/>
  <c r="AB48" i="1"/>
  <c r="AD48" i="1"/>
  <c r="Z49" i="1"/>
  <c r="AB49" i="1"/>
  <c r="AD49" i="1"/>
  <c r="AF49" i="1"/>
  <c r="Z50" i="1"/>
  <c r="AB50" i="1"/>
  <c r="AD50" i="1"/>
  <c r="AF50" i="1"/>
  <c r="Z51" i="1"/>
  <c r="AB51" i="1"/>
  <c r="AD51" i="1"/>
  <c r="Z52" i="1"/>
  <c r="AB52" i="1"/>
  <c r="AD52" i="1"/>
  <c r="Z53" i="1"/>
  <c r="AB53" i="1"/>
  <c r="AD53" i="1"/>
  <c r="Z54" i="1"/>
  <c r="AB54" i="1"/>
  <c r="AD54" i="1"/>
  <c r="AF54" i="1"/>
  <c r="Z55" i="1"/>
  <c r="AB55" i="1"/>
  <c r="AD55" i="1"/>
  <c r="AF55" i="1"/>
  <c r="Z56" i="1"/>
  <c r="AB56" i="1"/>
  <c r="AD56" i="1"/>
  <c r="AF56" i="1"/>
  <c r="Z57" i="1"/>
  <c r="AB57" i="1"/>
  <c r="AD57" i="1"/>
  <c r="AF57" i="1"/>
  <c r="Z58" i="1"/>
  <c r="AB58" i="1"/>
  <c r="AD58" i="1"/>
  <c r="AF58" i="1"/>
  <c r="Z59" i="1"/>
  <c r="AB59" i="1"/>
  <c r="AD59" i="1"/>
  <c r="AF59" i="1"/>
  <c r="Z60" i="1"/>
  <c r="AB60" i="1"/>
  <c r="AD60" i="1"/>
  <c r="AF60" i="1"/>
  <c r="Z61" i="1"/>
  <c r="AB61" i="1"/>
  <c r="AD61" i="1"/>
  <c r="Z62" i="1"/>
  <c r="AB62" i="1"/>
  <c r="AD62" i="1"/>
  <c r="Z63" i="1"/>
  <c r="AB63" i="1"/>
  <c r="AD63" i="1"/>
  <c r="Z64" i="1"/>
  <c r="AB64" i="1"/>
  <c r="AD64" i="1"/>
  <c r="Z65" i="1"/>
  <c r="AB65" i="1"/>
  <c r="AD65" i="1"/>
  <c r="Z66" i="1"/>
  <c r="AB66" i="1"/>
  <c r="AD66" i="1"/>
  <c r="Z67" i="1"/>
  <c r="AB67" i="1"/>
  <c r="AD67" i="1"/>
  <c r="Z68" i="1"/>
  <c r="AB68" i="1"/>
  <c r="AD68" i="1"/>
  <c r="AB32" i="1"/>
  <c r="AD32" i="1"/>
  <c r="Z32" i="1"/>
  <c r="Q33" i="1"/>
  <c r="Q34" i="1"/>
  <c r="Q35" i="1"/>
  <c r="Q36" i="1"/>
  <c r="Q37" i="1"/>
  <c r="Q38" i="1"/>
  <c r="Q39" i="1"/>
  <c r="Q40" i="1"/>
  <c r="Q41" i="1"/>
  <c r="Q42" i="1"/>
  <c r="Q43" i="1"/>
  <c r="Q44" i="1"/>
  <c r="Q45" i="1"/>
  <c r="Q47" i="1"/>
  <c r="Q48" i="1"/>
  <c r="Q49" i="1"/>
  <c r="Q51" i="1"/>
  <c r="Q52" i="1"/>
  <c r="Q53" i="1"/>
  <c r="Q54" i="1"/>
  <c r="Q55" i="1"/>
  <c r="Q56" i="1"/>
  <c r="Q57" i="1"/>
  <c r="Q59" i="1"/>
  <c r="Q60" i="1"/>
  <c r="Q61" i="1"/>
  <c r="Q63" i="1"/>
  <c r="Q64" i="1"/>
  <c r="Q65" i="1"/>
  <c r="Q66" i="1"/>
  <c r="Q67" i="1"/>
  <c r="Q68" i="1"/>
  <c r="O33" i="1"/>
  <c r="O34" i="1"/>
  <c r="O36" i="1"/>
  <c r="O37" i="1"/>
  <c r="O40" i="1"/>
  <c r="O41" i="1"/>
  <c r="O42" i="1"/>
  <c r="O44" i="1"/>
  <c r="O46" i="1"/>
  <c r="O48" i="1"/>
  <c r="O50" i="1"/>
  <c r="O52" i="1"/>
  <c r="O54" i="1"/>
  <c r="O56" i="1"/>
  <c r="O58" i="1"/>
  <c r="O60" i="1"/>
  <c r="O61" i="1"/>
  <c r="O62" i="1"/>
  <c r="O64" i="1"/>
  <c r="O65" i="1"/>
  <c r="O66" i="1"/>
  <c r="O68" i="1"/>
  <c r="M35" i="1"/>
  <c r="M39" i="1"/>
  <c r="M43" i="1"/>
  <c r="M45" i="1"/>
  <c r="M47" i="1"/>
  <c r="M49" i="1"/>
  <c r="M53" i="1"/>
  <c r="M55" i="1"/>
  <c r="M59" i="1"/>
  <c r="M63" i="1"/>
  <c r="M65" i="1"/>
  <c r="M67" i="1"/>
  <c r="M32" i="1"/>
  <c r="Z9" i="1"/>
  <c r="Z10" i="1"/>
  <c r="Z11" i="1"/>
  <c r="Z12" i="1"/>
  <c r="Z13" i="1"/>
  <c r="Z14" i="1"/>
  <c r="Z15" i="1"/>
  <c r="Z16" i="1"/>
  <c r="Z17" i="1"/>
  <c r="Z18" i="1"/>
  <c r="Z19" i="1"/>
  <c r="Z20" i="1"/>
  <c r="Z21" i="1"/>
  <c r="Z22" i="1"/>
  <c r="Z23" i="1"/>
  <c r="Z24" i="1"/>
  <c r="Z25" i="1"/>
  <c r="Z26" i="1"/>
  <c r="Z28" i="1"/>
  <c r="Z29" i="1"/>
  <c r="Z30" i="1"/>
  <c r="AB9" i="1"/>
  <c r="AB10" i="1"/>
  <c r="AB11" i="1"/>
  <c r="AB12" i="1"/>
  <c r="AB13" i="1"/>
  <c r="AB14" i="1"/>
  <c r="AB15" i="1"/>
  <c r="AB16" i="1"/>
  <c r="AB17" i="1"/>
  <c r="AB18" i="1"/>
  <c r="AB19" i="1"/>
  <c r="AB20" i="1"/>
  <c r="AB21" i="1"/>
  <c r="AB22" i="1"/>
  <c r="AB23" i="1"/>
  <c r="AB24" i="1"/>
  <c r="AB25" i="1"/>
  <c r="AB26" i="1"/>
  <c r="AB28" i="1"/>
  <c r="AB29" i="1"/>
  <c r="AB30" i="1"/>
  <c r="AD9" i="1"/>
  <c r="V71" i="1"/>
  <c r="V72" i="1"/>
  <c r="V73" i="1"/>
  <c r="V74" i="1"/>
  <c r="V75" i="1"/>
  <c r="V76" i="1"/>
  <c r="V77" i="1"/>
  <c r="V78" i="1"/>
  <c r="V79" i="1"/>
  <c r="V80" i="1"/>
  <c r="V81" i="1"/>
  <c r="V82" i="1"/>
  <c r="V83" i="1"/>
  <c r="V84" i="1"/>
  <c r="V85" i="1"/>
  <c r="V86" i="1"/>
  <c r="V87" i="1"/>
  <c r="V88" i="1"/>
  <c r="V89" i="1"/>
  <c r="V91" i="1"/>
  <c r="V92" i="1"/>
  <c r="V93" i="1"/>
  <c r="V94" i="1"/>
  <c r="V95" i="1"/>
  <c r="V96" i="1"/>
  <c r="V97" i="1"/>
  <c r="V98" i="1"/>
  <c r="V99" i="1"/>
  <c r="V100" i="1"/>
  <c r="V70"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32" i="1"/>
  <c r="L33" i="1"/>
  <c r="N33" i="1"/>
  <c r="P33" i="1"/>
  <c r="L34" i="1"/>
  <c r="N34" i="1"/>
  <c r="P34" i="1"/>
  <c r="L35" i="1"/>
  <c r="N35" i="1"/>
  <c r="P35" i="1"/>
  <c r="L36" i="1"/>
  <c r="N36" i="1"/>
  <c r="P36" i="1"/>
  <c r="L37" i="1"/>
  <c r="N37" i="1"/>
  <c r="P37" i="1"/>
  <c r="L38" i="1"/>
  <c r="N38" i="1"/>
  <c r="O38" i="1"/>
  <c r="P38" i="1"/>
  <c r="L39" i="1"/>
  <c r="N39" i="1"/>
  <c r="P39" i="1"/>
  <c r="L40" i="1"/>
  <c r="N40" i="1"/>
  <c r="P40" i="1"/>
  <c r="L41" i="1"/>
  <c r="N41" i="1"/>
  <c r="P41" i="1"/>
  <c r="L42" i="1"/>
  <c r="N42" i="1"/>
  <c r="P42" i="1"/>
  <c r="L43" i="1"/>
  <c r="N43" i="1"/>
  <c r="P43" i="1"/>
  <c r="L44" i="1"/>
  <c r="N44" i="1"/>
  <c r="P44" i="1"/>
  <c r="L45" i="1"/>
  <c r="N45" i="1"/>
  <c r="O45" i="1"/>
  <c r="P45" i="1"/>
  <c r="L46" i="1"/>
  <c r="N46" i="1"/>
  <c r="P46" i="1"/>
  <c r="Q46" i="1"/>
  <c r="L47" i="1"/>
  <c r="N47" i="1"/>
  <c r="O47" i="1"/>
  <c r="P47" i="1"/>
  <c r="L48" i="1"/>
  <c r="N48" i="1"/>
  <c r="P48" i="1"/>
  <c r="L49" i="1"/>
  <c r="N49" i="1"/>
  <c r="O49" i="1"/>
  <c r="P49" i="1"/>
  <c r="L50" i="1"/>
  <c r="N50" i="1"/>
  <c r="P50" i="1"/>
  <c r="Q50" i="1"/>
  <c r="L51" i="1"/>
  <c r="N51" i="1"/>
  <c r="O51" i="1"/>
  <c r="P51" i="1"/>
  <c r="L52" i="1"/>
  <c r="N52" i="1"/>
  <c r="P52" i="1"/>
  <c r="L53" i="1"/>
  <c r="N53" i="1"/>
  <c r="O53" i="1"/>
  <c r="P53" i="1"/>
  <c r="L54" i="1"/>
  <c r="N54" i="1"/>
  <c r="P54" i="1"/>
  <c r="L55" i="1"/>
  <c r="N55" i="1"/>
  <c r="O55" i="1"/>
  <c r="P55" i="1"/>
  <c r="L56" i="1"/>
  <c r="N56" i="1"/>
  <c r="P56" i="1"/>
  <c r="L57" i="1"/>
  <c r="N57" i="1"/>
  <c r="O57" i="1"/>
  <c r="P57" i="1"/>
  <c r="L58" i="1"/>
  <c r="N58" i="1"/>
  <c r="P58" i="1"/>
  <c r="Q58" i="1"/>
  <c r="L59" i="1"/>
  <c r="N59" i="1"/>
  <c r="P59" i="1"/>
  <c r="L60" i="1"/>
  <c r="N60" i="1"/>
  <c r="P60" i="1"/>
  <c r="L61" i="1"/>
  <c r="N61" i="1"/>
  <c r="P61" i="1"/>
  <c r="L62" i="1"/>
  <c r="N62" i="1"/>
  <c r="P62" i="1"/>
  <c r="Q62" i="1"/>
  <c r="L63" i="1"/>
  <c r="N63" i="1"/>
  <c r="P63" i="1"/>
  <c r="L64" i="1"/>
  <c r="N64" i="1"/>
  <c r="P64" i="1"/>
  <c r="L65" i="1"/>
  <c r="N65" i="1"/>
  <c r="P65" i="1"/>
  <c r="L66" i="1"/>
  <c r="N66" i="1"/>
  <c r="P66" i="1"/>
  <c r="L67" i="1"/>
  <c r="N67" i="1"/>
  <c r="P67" i="1"/>
  <c r="L68" i="1"/>
  <c r="N68" i="1"/>
  <c r="P68" i="1"/>
  <c r="N32" i="1"/>
  <c r="O32" i="1"/>
  <c r="P32" i="1"/>
  <c r="L32" i="1"/>
  <c r="J64" i="1"/>
  <c r="J65" i="1"/>
  <c r="J66" i="1"/>
  <c r="J67" i="1"/>
  <c r="J68" i="1"/>
  <c r="J63" i="1"/>
  <c r="J62" i="1"/>
  <c r="J61" i="1"/>
  <c r="J60" i="1"/>
  <c r="J59" i="1"/>
  <c r="J56" i="1"/>
  <c r="J57" i="1"/>
  <c r="J58" i="1"/>
  <c r="J55" i="1"/>
  <c r="J53" i="1"/>
  <c r="J54" i="1"/>
  <c r="J52" i="1"/>
  <c r="C18" i="20" s="1"/>
  <c r="J51" i="1"/>
  <c r="J50" i="1"/>
  <c r="J47" i="1"/>
  <c r="J48" i="1"/>
  <c r="J49" i="1"/>
  <c r="J46" i="1"/>
  <c r="J38" i="1"/>
  <c r="J39" i="1"/>
  <c r="J40" i="1"/>
  <c r="J41" i="1"/>
  <c r="J42" i="1"/>
  <c r="J43" i="1"/>
  <c r="J44" i="1"/>
  <c r="J45" i="1"/>
  <c r="J37" i="1"/>
  <c r="J33" i="1"/>
  <c r="J34" i="1"/>
  <c r="J35" i="1"/>
  <c r="J36" i="1"/>
  <c r="J32" i="1"/>
  <c r="AJ29" i="1"/>
  <c r="AJ30" i="1"/>
  <c r="AJ28" i="1"/>
  <c r="AJ19" i="1"/>
  <c r="AJ20" i="1"/>
  <c r="AJ21" i="1"/>
  <c r="AJ22" i="1"/>
  <c r="AJ23" i="1"/>
  <c r="AJ24" i="1"/>
  <c r="AJ18" i="1"/>
  <c r="AJ10" i="1"/>
  <c r="AJ11" i="1"/>
  <c r="AJ12" i="1"/>
  <c r="AJ13" i="1"/>
  <c r="AJ14" i="1"/>
  <c r="AJ15" i="1"/>
  <c r="AJ16" i="1"/>
  <c r="AJ9" i="1"/>
  <c r="AA10" i="1"/>
  <c r="AC10" i="1"/>
  <c r="AD10" i="1"/>
  <c r="AE10" i="1"/>
  <c r="AF10" i="1"/>
  <c r="AA11" i="1"/>
  <c r="AC11" i="1"/>
  <c r="AD11" i="1"/>
  <c r="AE11" i="1"/>
  <c r="AF11" i="1"/>
  <c r="AA12" i="1"/>
  <c r="AC12" i="1"/>
  <c r="AD12" i="1"/>
  <c r="AE12" i="1"/>
  <c r="AF12" i="1"/>
  <c r="AA13" i="1"/>
  <c r="AC13" i="1"/>
  <c r="AD13" i="1"/>
  <c r="AE13" i="1"/>
  <c r="AF13" i="1"/>
  <c r="AA14" i="1"/>
  <c r="AC14" i="1"/>
  <c r="AD14" i="1"/>
  <c r="AE14" i="1"/>
  <c r="AF14" i="1"/>
  <c r="AA15" i="1"/>
  <c r="AC15" i="1"/>
  <c r="AD15" i="1"/>
  <c r="AE15" i="1"/>
  <c r="AF15" i="1"/>
  <c r="AA16" i="1"/>
  <c r="AC16" i="1"/>
  <c r="AD16" i="1"/>
  <c r="AE16" i="1"/>
  <c r="AF16" i="1"/>
  <c r="AA17" i="1"/>
  <c r="AC17" i="1"/>
  <c r="AD17" i="1"/>
  <c r="AE17" i="1"/>
  <c r="AF17" i="1"/>
  <c r="AA18" i="1"/>
  <c r="AC18" i="1"/>
  <c r="AD18" i="1"/>
  <c r="AE18" i="1"/>
  <c r="AF18" i="1"/>
  <c r="AA19" i="1"/>
  <c r="AC19" i="1"/>
  <c r="AD19" i="1"/>
  <c r="AE19" i="1"/>
  <c r="AF19" i="1"/>
  <c r="AA20" i="1"/>
  <c r="AC20" i="1"/>
  <c r="AD20" i="1"/>
  <c r="AE20" i="1"/>
  <c r="AF20" i="1"/>
  <c r="AA21" i="1"/>
  <c r="AC21" i="1"/>
  <c r="AD21" i="1"/>
  <c r="AE21" i="1"/>
  <c r="AF21" i="1"/>
  <c r="AA22" i="1"/>
  <c r="AC22" i="1"/>
  <c r="AD22" i="1"/>
  <c r="AE22" i="1"/>
  <c r="AA23" i="1"/>
  <c r="AC23" i="1"/>
  <c r="AD23" i="1"/>
  <c r="AE23" i="1"/>
  <c r="AA24" i="1"/>
  <c r="AC24" i="1"/>
  <c r="AD24" i="1"/>
  <c r="AE24" i="1"/>
  <c r="AA25" i="1"/>
  <c r="AC25" i="1"/>
  <c r="AD25" i="1"/>
  <c r="AE25" i="1"/>
  <c r="AF25" i="1"/>
  <c r="AA26" i="1"/>
  <c r="AC26" i="1"/>
  <c r="AD26" i="1"/>
  <c r="AE26" i="1"/>
  <c r="AF26" i="1"/>
  <c r="AA28" i="1"/>
  <c r="AC28" i="1"/>
  <c r="AD28" i="1"/>
  <c r="AE28" i="1"/>
  <c r="AA29" i="1"/>
  <c r="AC29" i="1"/>
  <c r="AD29" i="1"/>
  <c r="AE29" i="1"/>
  <c r="AA30" i="1"/>
  <c r="AC30" i="1"/>
  <c r="AD30" i="1"/>
  <c r="AE30" i="1"/>
  <c r="D13" i="7"/>
  <c r="U13" i="7" s="1"/>
  <c r="D14" i="7"/>
  <c r="U14" i="7" s="1"/>
  <c r="D15" i="7"/>
  <c r="U15" i="7" s="1"/>
  <c r="D18" i="7"/>
  <c r="U18" i="7" s="1"/>
  <c r="D19" i="7"/>
  <c r="U19" i="7" s="1"/>
  <c r="D21" i="7"/>
  <c r="U21" i="7" s="1"/>
  <c r="U25" i="7"/>
  <c r="U137" i="1" l="1"/>
  <c r="AO137" i="1"/>
  <c r="AQ137" i="1"/>
  <c r="M51" i="1"/>
  <c r="M33" i="1"/>
  <c r="M61" i="1"/>
  <c r="M41" i="1"/>
  <c r="M57" i="1"/>
  <c r="M37" i="1"/>
  <c r="C20" i="20"/>
  <c r="C21" i="20"/>
  <c r="C22" i="20"/>
  <c r="X93" i="1"/>
  <c r="K112" i="19"/>
  <c r="V108" i="19"/>
  <c r="V112" i="19" s="1"/>
  <c r="W14" i="7"/>
  <c r="Z14" i="7"/>
  <c r="X14" i="7"/>
  <c r="Y14" i="7"/>
  <c r="O67" i="1"/>
  <c r="O63" i="1"/>
  <c r="O59" i="1"/>
  <c r="O43" i="1"/>
  <c r="O39" i="1"/>
  <c r="O35" i="1"/>
  <c r="AF70" i="1"/>
  <c r="D8" i="16"/>
  <c r="X92" i="1"/>
  <c r="X94" i="1"/>
  <c r="K131" i="19"/>
  <c r="V115" i="19"/>
  <c r="V131" i="19" s="1"/>
  <c r="V132" i="19" s="1"/>
  <c r="D22" i="7"/>
  <c r="U22" i="7" s="1"/>
  <c r="D17" i="7"/>
  <c r="U17" i="7" s="1"/>
  <c r="D12" i="7"/>
  <c r="U12" i="7" s="1"/>
  <c r="D11" i="7"/>
  <c r="U11" i="7" s="1"/>
  <c r="Y123" i="1"/>
  <c r="M45" i="20"/>
  <c r="M44" i="20"/>
  <c r="Y115" i="1"/>
  <c r="M43" i="20"/>
  <c r="Y112" i="1"/>
  <c r="M42" i="20"/>
  <c r="Y110" i="1"/>
  <c r="M41" i="20"/>
  <c r="M40" i="20"/>
  <c r="Y102" i="1"/>
  <c r="C14" i="20"/>
  <c r="C16" i="20"/>
  <c r="C17" i="20"/>
  <c r="C19" i="20"/>
  <c r="C15" i="20"/>
  <c r="M68" i="1"/>
  <c r="M66" i="1"/>
  <c r="M64" i="1"/>
  <c r="M62" i="1"/>
  <c r="M60" i="1"/>
  <c r="M58" i="1"/>
  <c r="M56" i="1"/>
  <c r="M54" i="1"/>
  <c r="M52" i="1"/>
  <c r="M50" i="1"/>
  <c r="M48" i="1"/>
  <c r="M46" i="1"/>
  <c r="M44" i="1"/>
  <c r="M42" i="1"/>
  <c r="M40" i="1"/>
  <c r="M38" i="1"/>
  <c r="M36" i="1"/>
  <c r="M34" i="1"/>
  <c r="AV137" i="1" l="1"/>
  <c r="AW137" i="1" s="1"/>
  <c r="M46" i="20"/>
  <c r="M64" i="20" s="1"/>
  <c r="C56" i="20"/>
  <c r="C55" i="20"/>
  <c r="C54" i="20"/>
  <c r="C53" i="20"/>
  <c r="C52" i="20"/>
  <c r="K126" i="1"/>
  <c r="K127" i="1"/>
  <c r="K125" i="1"/>
  <c r="C51" i="20"/>
  <c r="C42" i="20" l="1"/>
  <c r="C41" i="20"/>
  <c r="C40" i="20"/>
  <c r="J124" i="1"/>
  <c r="C45" i="20"/>
  <c r="C44" i="20"/>
  <c r="C43" i="20"/>
  <c r="C34" i="20"/>
  <c r="C33" i="20"/>
  <c r="C31" i="20"/>
  <c r="F31" i="20" s="1"/>
  <c r="C30" i="20"/>
  <c r="C29" i="20"/>
  <c r="C28" i="20"/>
  <c r="C27" i="20"/>
  <c r="D144" i="1"/>
  <c r="E144" i="1"/>
  <c r="C144" i="1"/>
  <c r="D143" i="1"/>
  <c r="E143" i="1"/>
  <c r="C143" i="1"/>
  <c r="D139" i="1"/>
  <c r="E139" i="1"/>
  <c r="D140" i="1"/>
  <c r="E140" i="1"/>
  <c r="D141" i="1"/>
  <c r="E141" i="1"/>
  <c r="D142" i="1"/>
  <c r="E142" i="1"/>
  <c r="C140" i="1"/>
  <c r="C141" i="1"/>
  <c r="C142" i="1"/>
  <c r="C139" i="1"/>
  <c r="D138" i="1"/>
  <c r="E138" i="1"/>
  <c r="C138" i="1"/>
  <c r="D131" i="1"/>
  <c r="E131" i="1"/>
  <c r="D132" i="1"/>
  <c r="E132" i="1"/>
  <c r="D133" i="1"/>
  <c r="E133" i="1"/>
  <c r="D134" i="1"/>
  <c r="E134" i="1"/>
  <c r="D135" i="1"/>
  <c r="E135" i="1"/>
  <c r="D136" i="1"/>
  <c r="E136" i="1"/>
  <c r="D137" i="1"/>
  <c r="E137" i="1"/>
  <c r="C132" i="1"/>
  <c r="C133" i="1"/>
  <c r="C134" i="1"/>
  <c r="C135" i="1"/>
  <c r="C136" i="1"/>
  <c r="C137" i="1"/>
  <c r="C131" i="1"/>
  <c r="D128" i="1"/>
  <c r="E128" i="1"/>
  <c r="D129" i="1"/>
  <c r="E129" i="1"/>
  <c r="D130" i="1"/>
  <c r="E130" i="1"/>
  <c r="C129" i="1"/>
  <c r="C130" i="1"/>
  <c r="C128" i="1"/>
  <c r="E122" i="1"/>
  <c r="E123" i="1"/>
  <c r="E121" i="1"/>
  <c r="E117" i="1"/>
  <c r="Y122" i="1"/>
  <c r="D13" i="17"/>
  <c r="D123" i="1"/>
  <c r="C123" i="1"/>
  <c r="D122" i="1"/>
  <c r="C122" i="1"/>
  <c r="D121" i="1"/>
  <c r="C121" i="1"/>
  <c r="D117" i="1"/>
  <c r="C117" i="1"/>
  <c r="E115" i="1"/>
  <c r="C115" i="1"/>
  <c r="E112" i="1"/>
  <c r="C112" i="1"/>
  <c r="D110" i="1"/>
  <c r="E110" i="1"/>
  <c r="C110" i="1"/>
  <c r="D102" i="1"/>
  <c r="E102" i="1"/>
  <c r="D103" i="1"/>
  <c r="E103" i="1"/>
  <c r="D104" i="1"/>
  <c r="E104" i="1"/>
  <c r="D105" i="1"/>
  <c r="E105" i="1"/>
  <c r="D106" i="1"/>
  <c r="E106" i="1"/>
  <c r="D107" i="1"/>
  <c r="E107" i="1"/>
  <c r="D108" i="1"/>
  <c r="E108" i="1"/>
  <c r="D109" i="1"/>
  <c r="E109" i="1"/>
  <c r="C103" i="1"/>
  <c r="C104" i="1"/>
  <c r="C105" i="1"/>
  <c r="C106" i="1"/>
  <c r="C107" i="1"/>
  <c r="C108" i="1"/>
  <c r="C109" i="1"/>
  <c r="C102" i="1"/>
  <c r="D9" i="17" l="1"/>
  <c r="AF103" i="1"/>
  <c r="D10" i="17"/>
  <c r="AF104" i="1"/>
  <c r="D17" i="17"/>
  <c r="AF116" i="1"/>
  <c r="AF119" i="1"/>
  <c r="D20" i="17"/>
  <c r="AF122" i="1"/>
  <c r="D8" i="17"/>
  <c r="AF102" i="1"/>
  <c r="D11" i="17"/>
  <c r="AF105" i="1"/>
  <c r="D12" i="17"/>
  <c r="AF106" i="1"/>
  <c r="D14" i="17"/>
  <c r="AF107" i="1"/>
  <c r="AF108" i="1"/>
  <c r="D15" i="17"/>
  <c r="AF110" i="1"/>
  <c r="D16" i="17"/>
  <c r="AF112" i="1"/>
  <c r="AF117" i="1"/>
  <c r="AF118" i="1"/>
  <c r="AF120" i="1"/>
  <c r="D19" i="17"/>
  <c r="AF121" i="1"/>
  <c r="D21" i="17"/>
  <c r="AF123" i="1"/>
  <c r="D97" i="1"/>
  <c r="E97" i="1"/>
  <c r="D98" i="1"/>
  <c r="E98" i="1"/>
  <c r="D99" i="1"/>
  <c r="E99" i="1"/>
  <c r="D100" i="1"/>
  <c r="E100" i="1"/>
  <c r="C98" i="1"/>
  <c r="C99" i="1"/>
  <c r="C100" i="1"/>
  <c r="C97" i="1"/>
  <c r="D95" i="1"/>
  <c r="E95" i="1"/>
  <c r="D96" i="1"/>
  <c r="E96" i="1"/>
  <c r="C96" i="1"/>
  <c r="C95" i="1"/>
  <c r="D89" i="1"/>
  <c r="E89" i="1"/>
  <c r="C89" i="1"/>
  <c r="C75" i="1"/>
  <c r="D75" i="1"/>
  <c r="E75" i="1"/>
  <c r="C76" i="1"/>
  <c r="D76" i="1"/>
  <c r="E76" i="1"/>
  <c r="C77" i="1"/>
  <c r="D77" i="1"/>
  <c r="E77" i="1"/>
  <c r="C78" i="1"/>
  <c r="D78" i="1"/>
  <c r="E78" i="1"/>
  <c r="C79" i="1"/>
  <c r="D79" i="1"/>
  <c r="E79" i="1"/>
  <c r="C80" i="1"/>
  <c r="D80" i="1"/>
  <c r="E80" i="1"/>
  <c r="C81" i="1"/>
  <c r="D81" i="1"/>
  <c r="E81" i="1"/>
  <c r="C74" i="1"/>
  <c r="C71" i="1"/>
  <c r="D71" i="1"/>
  <c r="E71" i="1"/>
  <c r="C72" i="1"/>
  <c r="D72" i="1"/>
  <c r="E72" i="1"/>
  <c r="D91" i="1"/>
  <c r="E91" i="1"/>
  <c r="D92" i="1"/>
  <c r="E92" i="1"/>
  <c r="D93" i="1"/>
  <c r="E93" i="1"/>
  <c r="D94" i="1"/>
  <c r="E94" i="1"/>
  <c r="C92" i="1"/>
  <c r="C93" i="1"/>
  <c r="C94" i="1"/>
  <c r="C91" i="1"/>
  <c r="D88" i="1"/>
  <c r="E88" i="1"/>
  <c r="C88" i="1"/>
  <c r="C87" i="1"/>
  <c r="D87" i="1"/>
  <c r="E87" i="1"/>
  <c r="D83" i="1"/>
  <c r="E83" i="1"/>
  <c r="D84" i="1"/>
  <c r="E84" i="1"/>
  <c r="D85" i="1"/>
  <c r="E85" i="1"/>
  <c r="D86" i="1"/>
  <c r="E86" i="1"/>
  <c r="C84" i="1"/>
  <c r="C85" i="1"/>
  <c r="C86" i="1"/>
  <c r="C83" i="1"/>
  <c r="D82" i="1"/>
  <c r="E82" i="1"/>
  <c r="C82" i="1"/>
  <c r="D18" i="17" l="1"/>
  <c r="D74" i="1"/>
  <c r="E74" i="1"/>
  <c r="D73" i="1"/>
  <c r="E73" i="1"/>
  <c r="C73" i="1"/>
  <c r="D70" i="1"/>
  <c r="E70" i="1"/>
  <c r="C70" i="1"/>
  <c r="AF33" i="1"/>
  <c r="AF34" i="1"/>
  <c r="AF35" i="1"/>
  <c r="AF36" i="1"/>
  <c r="AF37" i="1"/>
  <c r="AF38" i="1"/>
  <c r="AF39" i="1"/>
  <c r="AF40" i="1"/>
  <c r="AF43" i="1"/>
  <c r="AF44" i="1"/>
  <c r="AF45" i="1"/>
  <c r="AF46" i="1"/>
  <c r="AF48" i="1"/>
  <c r="AF51" i="1"/>
  <c r="AF52" i="1"/>
  <c r="AF53" i="1"/>
  <c r="AF61" i="1"/>
  <c r="AF62" i="1"/>
  <c r="AF63" i="1"/>
  <c r="AF64" i="1"/>
  <c r="AF65" i="1"/>
  <c r="AF66" i="1"/>
  <c r="AF67" i="1"/>
  <c r="AF68" i="1"/>
  <c r="Q32" i="1" l="1"/>
  <c r="Q10" i="1"/>
  <c r="Q11" i="1"/>
  <c r="Q13" i="1"/>
  <c r="Q16" i="1"/>
  <c r="Q17" i="1"/>
  <c r="Q18" i="1"/>
  <c r="Q21" i="1"/>
  <c r="Q24" i="1"/>
  <c r="Q25" i="1"/>
  <c r="Q26" i="1"/>
  <c r="Q30" i="1"/>
  <c r="Q9" i="1"/>
  <c r="O10" i="1"/>
  <c r="O11" i="1"/>
  <c r="O12" i="1"/>
  <c r="O14" i="1"/>
  <c r="O16" i="1"/>
  <c r="O17" i="1"/>
  <c r="O18" i="1"/>
  <c r="O19" i="1"/>
  <c r="O20" i="1"/>
  <c r="O22" i="1"/>
  <c r="O24" i="1"/>
  <c r="O25" i="1"/>
  <c r="O26" i="1"/>
  <c r="O28" i="1"/>
  <c r="O29" i="1"/>
  <c r="O9" i="1"/>
  <c r="M10" i="1"/>
  <c r="M11" i="1"/>
  <c r="M12" i="1"/>
  <c r="M14" i="1"/>
  <c r="M20" i="1"/>
  <c r="M22" i="1"/>
  <c r="M29" i="1"/>
  <c r="M9" i="1"/>
  <c r="J10" i="1"/>
  <c r="J11" i="1"/>
  <c r="J12" i="1"/>
  <c r="C4" i="20" s="1"/>
  <c r="J13" i="1"/>
  <c r="J14" i="1"/>
  <c r="J15" i="1"/>
  <c r="J16" i="1"/>
  <c r="J17" i="1"/>
  <c r="J18" i="1"/>
  <c r="J19" i="1"/>
  <c r="J20" i="1"/>
  <c r="J21" i="1"/>
  <c r="J22" i="1"/>
  <c r="J23" i="1"/>
  <c r="J24" i="1"/>
  <c r="J25" i="1"/>
  <c r="J26" i="1"/>
  <c r="C8" i="20" s="1"/>
  <c r="J28" i="1"/>
  <c r="J29" i="1"/>
  <c r="J30" i="1"/>
  <c r="J9" i="1"/>
  <c r="C3" i="20" s="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D63" i="1"/>
  <c r="E63" i="1"/>
  <c r="D64" i="1"/>
  <c r="E64" i="1"/>
  <c r="D65" i="1"/>
  <c r="E65" i="1"/>
  <c r="D66" i="1"/>
  <c r="E66" i="1"/>
  <c r="D67" i="1"/>
  <c r="E67" i="1"/>
  <c r="D68" i="1"/>
  <c r="E68" i="1"/>
  <c r="C64" i="1"/>
  <c r="C65" i="1"/>
  <c r="C66" i="1"/>
  <c r="C67" i="1"/>
  <c r="C68" i="1"/>
  <c r="C63" i="1"/>
  <c r="D61" i="1"/>
  <c r="E61" i="1"/>
  <c r="D62" i="1"/>
  <c r="E62" i="1"/>
  <c r="C62" i="1"/>
  <c r="C61" i="1"/>
  <c r="D59" i="1"/>
  <c r="E59" i="1"/>
  <c r="D60" i="1"/>
  <c r="E60" i="1"/>
  <c r="C60" i="1"/>
  <c r="C59" i="1"/>
  <c r="D55" i="1"/>
  <c r="E55" i="1"/>
  <c r="D56" i="1"/>
  <c r="E56" i="1"/>
  <c r="D57" i="1"/>
  <c r="E57" i="1"/>
  <c r="D58" i="1"/>
  <c r="E58" i="1"/>
  <c r="C56" i="1"/>
  <c r="C57" i="1"/>
  <c r="C58" i="1"/>
  <c r="C55" i="1"/>
  <c r="D52" i="1"/>
  <c r="E52" i="1"/>
  <c r="D53" i="1"/>
  <c r="E53" i="1"/>
  <c r="D54" i="1"/>
  <c r="E54" i="1"/>
  <c r="C53" i="1"/>
  <c r="C54" i="1"/>
  <c r="C52" i="1"/>
  <c r="D50" i="1"/>
  <c r="E50" i="1"/>
  <c r="D51" i="1"/>
  <c r="E51" i="1"/>
  <c r="C51" i="1"/>
  <c r="C50" i="1"/>
  <c r="C49" i="1"/>
  <c r="D46" i="1"/>
  <c r="E46" i="1"/>
  <c r="D47" i="1"/>
  <c r="E47" i="1"/>
  <c r="D48" i="1"/>
  <c r="E48" i="1"/>
  <c r="D49" i="1"/>
  <c r="E49" i="1"/>
  <c r="C47" i="1"/>
  <c r="C48" i="1"/>
  <c r="C46" i="1"/>
  <c r="C38" i="1"/>
  <c r="D38" i="1"/>
  <c r="E38" i="1"/>
  <c r="C39" i="1"/>
  <c r="D39" i="1"/>
  <c r="E39" i="1"/>
  <c r="C40" i="1"/>
  <c r="D40" i="1"/>
  <c r="E40" i="1"/>
  <c r="C41" i="1"/>
  <c r="D41" i="1"/>
  <c r="E41" i="1"/>
  <c r="C42" i="1"/>
  <c r="D42" i="1"/>
  <c r="E42" i="1"/>
  <c r="C43" i="1"/>
  <c r="D43" i="1"/>
  <c r="E43" i="1"/>
  <c r="C44" i="1"/>
  <c r="D44" i="1"/>
  <c r="E44" i="1"/>
  <c r="C45" i="1"/>
  <c r="D45" i="1"/>
  <c r="E45" i="1"/>
  <c r="D37" i="1"/>
  <c r="E37" i="1"/>
  <c r="C37" i="1"/>
  <c r="C33" i="1"/>
  <c r="D33" i="1"/>
  <c r="E33" i="1"/>
  <c r="C34" i="1"/>
  <c r="D34" i="1"/>
  <c r="E34" i="1"/>
  <c r="C35" i="1"/>
  <c r="D35" i="1"/>
  <c r="E35" i="1"/>
  <c r="C36" i="1"/>
  <c r="D36" i="1"/>
  <c r="E36" i="1"/>
  <c r="D32" i="1"/>
  <c r="E32" i="1"/>
  <c r="C32" i="1"/>
  <c r="V10" i="1"/>
  <c r="V11" i="1"/>
  <c r="V12" i="1"/>
  <c r="V13" i="1"/>
  <c r="V14" i="1"/>
  <c r="V15" i="1"/>
  <c r="V16" i="1"/>
  <c r="V17" i="1"/>
  <c r="V18" i="1"/>
  <c r="V19" i="1"/>
  <c r="V20" i="1"/>
  <c r="V21" i="1"/>
  <c r="V22" i="1"/>
  <c r="V23" i="1"/>
  <c r="V24" i="1"/>
  <c r="V25" i="1"/>
  <c r="V26" i="1"/>
  <c r="V28" i="1"/>
  <c r="V29" i="1"/>
  <c r="V30" i="1"/>
  <c r="V9" i="1"/>
  <c r="L10" i="1"/>
  <c r="L11" i="1"/>
  <c r="L12" i="1"/>
  <c r="N12" i="1"/>
  <c r="P12" i="1"/>
  <c r="Q12" i="1"/>
  <c r="L13" i="1"/>
  <c r="M13" i="1"/>
  <c r="N13" i="1"/>
  <c r="O13" i="1"/>
  <c r="P13" i="1"/>
  <c r="L14" i="1"/>
  <c r="N14" i="1"/>
  <c r="P14" i="1"/>
  <c r="Q14" i="1"/>
  <c r="L15" i="1"/>
  <c r="M15" i="1"/>
  <c r="N15" i="1"/>
  <c r="O15" i="1"/>
  <c r="P15" i="1"/>
  <c r="Q15" i="1"/>
  <c r="L16" i="1"/>
  <c r="M16" i="1"/>
  <c r="N16" i="1"/>
  <c r="P16" i="1"/>
  <c r="L17" i="1"/>
  <c r="M17" i="1"/>
  <c r="N17" i="1"/>
  <c r="P17" i="1"/>
  <c r="L18" i="1"/>
  <c r="M18" i="1"/>
  <c r="N18" i="1"/>
  <c r="P18" i="1"/>
  <c r="L19" i="1"/>
  <c r="M19" i="1"/>
  <c r="N19" i="1"/>
  <c r="P19" i="1"/>
  <c r="Q19" i="1"/>
  <c r="L20" i="1"/>
  <c r="N20" i="1"/>
  <c r="P20" i="1"/>
  <c r="Q20" i="1"/>
  <c r="L21" i="1"/>
  <c r="M21" i="1"/>
  <c r="N21" i="1"/>
  <c r="O21" i="1"/>
  <c r="P21" i="1"/>
  <c r="L22" i="1"/>
  <c r="N22" i="1"/>
  <c r="P22" i="1"/>
  <c r="Q22" i="1"/>
  <c r="L23" i="1"/>
  <c r="M23" i="1"/>
  <c r="N23" i="1"/>
  <c r="O23" i="1"/>
  <c r="P23" i="1"/>
  <c r="Q23" i="1"/>
  <c r="L24" i="1"/>
  <c r="M24" i="1"/>
  <c r="N24" i="1"/>
  <c r="P24" i="1"/>
  <c r="L25" i="1"/>
  <c r="M25" i="1"/>
  <c r="N25" i="1"/>
  <c r="P25" i="1"/>
  <c r="L26" i="1"/>
  <c r="M26" i="1"/>
  <c r="N26" i="1"/>
  <c r="P26" i="1"/>
  <c r="L28" i="1"/>
  <c r="M28" i="1"/>
  <c r="N28" i="1"/>
  <c r="P28" i="1"/>
  <c r="Q28" i="1"/>
  <c r="L29" i="1"/>
  <c r="N29" i="1"/>
  <c r="P29" i="1"/>
  <c r="Q29" i="1"/>
  <c r="L30" i="1"/>
  <c r="M30" i="1"/>
  <c r="N30" i="1"/>
  <c r="O30" i="1"/>
  <c r="P30" i="1"/>
  <c r="C29" i="1"/>
  <c r="D29" i="1"/>
  <c r="E29" i="1"/>
  <c r="C30" i="1"/>
  <c r="D30" i="1"/>
  <c r="E30" i="1"/>
  <c r="D28" i="1"/>
  <c r="E28" i="1"/>
  <c r="C28" i="1"/>
  <c r="D26" i="1"/>
  <c r="E26" i="1"/>
  <c r="C26" i="1"/>
  <c r="C24" i="1"/>
  <c r="D24" i="1"/>
  <c r="E24" i="1"/>
  <c r="C25" i="1"/>
  <c r="D25" i="1"/>
  <c r="E25" i="1"/>
  <c r="D23" i="1"/>
  <c r="E23" i="1"/>
  <c r="C23" i="1"/>
  <c r="C19" i="1"/>
  <c r="D19" i="1"/>
  <c r="E19" i="1"/>
  <c r="C20" i="1"/>
  <c r="D20" i="1"/>
  <c r="E20" i="1"/>
  <c r="C21" i="1"/>
  <c r="D21" i="1"/>
  <c r="E21" i="1"/>
  <c r="C22" i="1"/>
  <c r="D22" i="1"/>
  <c r="E22" i="1"/>
  <c r="D18" i="1"/>
  <c r="E18" i="1"/>
  <c r="C18" i="1"/>
  <c r="C14" i="1"/>
  <c r="D14" i="1"/>
  <c r="E14" i="1"/>
  <c r="C15" i="1"/>
  <c r="D15" i="1"/>
  <c r="E15" i="1"/>
  <c r="C16" i="1"/>
  <c r="D16" i="1"/>
  <c r="E16" i="1"/>
  <c r="C17" i="1"/>
  <c r="D17" i="1"/>
  <c r="E17" i="1"/>
  <c r="D13" i="1"/>
  <c r="E13" i="1"/>
  <c r="C13" i="1"/>
  <c r="D12" i="1"/>
  <c r="E12" i="1"/>
  <c r="C12" i="1"/>
  <c r="C10" i="1"/>
  <c r="D10" i="1"/>
  <c r="E10" i="1"/>
  <c r="C11" i="1"/>
  <c r="D11" i="1"/>
  <c r="E11" i="1"/>
  <c r="D9" i="1"/>
  <c r="E9" i="1"/>
  <c r="C9" i="1"/>
  <c r="AM155" i="1" l="1"/>
  <c r="AK155" i="1"/>
  <c r="AL154" i="1"/>
  <c r="AL152" i="1"/>
  <c r="AL150" i="1"/>
  <c r="AM149" i="1"/>
  <c r="AK149" i="1"/>
  <c r="AL157" i="1"/>
  <c r="AL153" i="1"/>
  <c r="AM150" i="1"/>
  <c r="AL149" i="1"/>
  <c r="AK154" i="1"/>
  <c r="AL151" i="1"/>
  <c r="AL155" i="1"/>
  <c r="AK150" i="1"/>
  <c r="C6" i="20"/>
  <c r="C9" i="20"/>
  <c r="C7" i="20"/>
  <c r="C5" i="20"/>
  <c r="J155" i="1"/>
  <c r="J152" i="1"/>
  <c r="J149" i="1"/>
  <c r="J157" i="1"/>
  <c r="J150" i="1"/>
  <c r="J151" i="1"/>
  <c r="J153" i="1"/>
  <c r="I46" i="20"/>
  <c r="I64" i="20" s="1"/>
  <c r="R30" i="1"/>
  <c r="R29" i="1"/>
  <c r="R28" i="1"/>
  <c r="R26" i="1"/>
  <c r="R25" i="1"/>
  <c r="R24" i="1"/>
  <c r="R23" i="1"/>
  <c r="R22" i="1"/>
  <c r="R21" i="1"/>
  <c r="R20" i="1"/>
  <c r="R19" i="1"/>
  <c r="R18" i="1"/>
  <c r="R17" i="1"/>
  <c r="R16" i="1"/>
  <c r="R15" i="1"/>
  <c r="R14" i="1"/>
  <c r="R13" i="1"/>
  <c r="R12" i="1"/>
  <c r="R9" i="1"/>
  <c r="J31" i="1"/>
  <c r="K30" i="1"/>
  <c r="D25" i="19"/>
  <c r="K10" i="1"/>
  <c r="K12" i="1"/>
  <c r="K14" i="1"/>
  <c r="K16" i="1"/>
  <c r="K19" i="1"/>
  <c r="S24" i="1"/>
  <c r="K28" i="1"/>
  <c r="K29" i="1"/>
  <c r="U145" i="1"/>
  <c r="N127" i="1"/>
  <c r="L127" i="1"/>
  <c r="R126" i="1"/>
  <c r="N126" i="1"/>
  <c r="L126" i="1"/>
  <c r="N125" i="1"/>
  <c r="L125" i="1"/>
  <c r="J145" i="1"/>
  <c r="U120" i="1"/>
  <c r="U119" i="1"/>
  <c r="U118" i="1"/>
  <c r="U116" i="1"/>
  <c r="U114" i="1"/>
  <c r="U113" i="1"/>
  <c r="U111" i="1"/>
  <c r="U109" i="1"/>
  <c r="U101" i="1"/>
  <c r="U69" i="1"/>
  <c r="T68" i="1"/>
  <c r="T67" i="1"/>
  <c r="T66" i="1"/>
  <c r="T65" i="1"/>
  <c r="T64" i="1"/>
  <c r="T63" i="1"/>
  <c r="T62" i="1"/>
  <c r="T61" i="1"/>
  <c r="T59" i="1"/>
  <c r="T58" i="1"/>
  <c r="T56" i="1"/>
  <c r="T55" i="1"/>
  <c r="T53" i="1"/>
  <c r="T52" i="1"/>
  <c r="T49" i="1"/>
  <c r="T48" i="1"/>
  <c r="T46" i="1"/>
  <c r="T45" i="1"/>
  <c r="T44" i="1"/>
  <c r="T41" i="1"/>
  <c r="T40" i="1"/>
  <c r="T37" i="1"/>
  <c r="T36" i="1"/>
  <c r="T35" i="1"/>
  <c r="T33" i="1"/>
  <c r="T32" i="1"/>
  <c r="J69" i="1"/>
  <c r="T30" i="1"/>
  <c r="S30" i="1"/>
  <c r="T29" i="1"/>
  <c r="S29" i="1"/>
  <c r="T28" i="1"/>
  <c r="S28" i="1"/>
  <c r="T26" i="1"/>
  <c r="T25" i="1"/>
  <c r="T24" i="1"/>
  <c r="T23" i="1"/>
  <c r="T22" i="1"/>
  <c r="T21" i="1"/>
  <c r="T20" i="1"/>
  <c r="T19" i="1"/>
  <c r="T17" i="1"/>
  <c r="T16" i="1"/>
  <c r="T15" i="1"/>
  <c r="T14" i="1"/>
  <c r="T13" i="1"/>
  <c r="T12" i="1"/>
  <c r="T11" i="1"/>
  <c r="S11" i="1"/>
  <c r="T10" i="1"/>
  <c r="V4" i="1"/>
  <c r="T4" i="1"/>
  <c r="R4" i="1"/>
  <c r="AR4" i="1" s="1"/>
  <c r="P4" i="1"/>
  <c r="AO4" i="1" s="1"/>
  <c r="M4" i="1"/>
  <c r="AL156" i="1" l="1"/>
  <c r="AL158" i="1" s="1"/>
  <c r="S15" i="1"/>
  <c r="U15" i="1" s="1"/>
  <c r="S21" i="1"/>
  <c r="U21" i="1" s="1"/>
  <c r="S13" i="1"/>
  <c r="S17" i="1"/>
  <c r="U17" i="1" s="1"/>
  <c r="S19" i="1"/>
  <c r="S23" i="1"/>
  <c r="U23" i="1" s="1"/>
  <c r="S20" i="1"/>
  <c r="U20" i="1" s="1"/>
  <c r="S22" i="1"/>
  <c r="U22" i="1" s="1"/>
  <c r="K21" i="1"/>
  <c r="K9" i="1"/>
  <c r="K13" i="1"/>
  <c r="S10" i="1"/>
  <c r="U10" i="1" s="1"/>
  <c r="S12" i="1"/>
  <c r="U12" i="1" s="1"/>
  <c r="S14" i="1"/>
  <c r="U14" i="1" s="1"/>
  <c r="S16" i="1"/>
  <c r="U16" i="1" s="1"/>
  <c r="S18" i="1"/>
  <c r="S26" i="1"/>
  <c r="U26" i="1" s="1"/>
  <c r="K25" i="1"/>
  <c r="K17" i="1"/>
  <c r="U28" i="1"/>
  <c r="U30" i="1"/>
  <c r="T38" i="1"/>
  <c r="T39" i="1"/>
  <c r="T42" i="1"/>
  <c r="T43" i="1"/>
  <c r="T60" i="1"/>
  <c r="T34" i="1"/>
  <c r="T47" i="1"/>
  <c r="T50" i="1"/>
  <c r="T51" i="1"/>
  <c r="T54" i="1"/>
  <c r="T57" i="1"/>
  <c r="U29" i="1"/>
  <c r="T18" i="1"/>
  <c r="K23" i="1"/>
  <c r="K15" i="1"/>
  <c r="K11" i="1"/>
  <c r="K26" i="1"/>
  <c r="K24" i="1"/>
  <c r="K22" i="1"/>
  <c r="K20" i="1"/>
  <c r="K18" i="1"/>
  <c r="T9" i="1"/>
  <c r="U11" i="1"/>
  <c r="U13" i="1"/>
  <c r="U18" i="1"/>
  <c r="U19" i="1"/>
  <c r="I31" i="1"/>
  <c r="S25" i="1"/>
  <c r="U25" i="1" s="1"/>
  <c r="U24" i="1"/>
  <c r="S9" i="1"/>
  <c r="C57" i="20"/>
  <c r="C65" i="20" s="1"/>
  <c r="I129" i="1"/>
  <c r="I130" i="1"/>
  <c r="I131" i="1"/>
  <c r="I133" i="1"/>
  <c r="I134" i="1"/>
  <c r="I135" i="1"/>
  <c r="I136" i="1"/>
  <c r="I137" i="1"/>
  <c r="I139" i="1"/>
  <c r="I141" i="1"/>
  <c r="I142" i="1"/>
  <c r="I128" i="1"/>
  <c r="C46" i="20"/>
  <c r="C64" i="20" s="1"/>
  <c r="D112" i="19"/>
  <c r="I103" i="1"/>
  <c r="I104" i="1"/>
  <c r="I105" i="1"/>
  <c r="S105" i="1" s="1"/>
  <c r="I106" i="1"/>
  <c r="I107" i="1"/>
  <c r="S107" i="1" s="1"/>
  <c r="I108" i="1"/>
  <c r="I109" i="1"/>
  <c r="I121" i="1"/>
  <c r="I122" i="1"/>
  <c r="D96" i="19"/>
  <c r="I71" i="1"/>
  <c r="I72" i="1"/>
  <c r="I73" i="1"/>
  <c r="I82" i="1"/>
  <c r="I84" i="1"/>
  <c r="I85" i="1"/>
  <c r="I86" i="1"/>
  <c r="I87" i="1"/>
  <c r="I89" i="1"/>
  <c r="I91" i="1"/>
  <c r="S91" i="1" s="1"/>
  <c r="I96" i="1"/>
  <c r="I97" i="1"/>
  <c r="S97" i="1" s="1"/>
  <c r="I99" i="1"/>
  <c r="S99" i="1" s="1"/>
  <c r="I100" i="1"/>
  <c r="I70" i="1"/>
  <c r="D63" i="19"/>
  <c r="I37" i="1"/>
  <c r="S37" i="1" s="1"/>
  <c r="U37" i="1" s="1"/>
  <c r="I38" i="1"/>
  <c r="I39" i="1"/>
  <c r="I40" i="1"/>
  <c r="I41" i="1"/>
  <c r="S41" i="1" s="1"/>
  <c r="U41" i="1" s="1"/>
  <c r="I42" i="1"/>
  <c r="I43" i="1"/>
  <c r="I44" i="1"/>
  <c r="I45" i="1"/>
  <c r="S45" i="1" s="1"/>
  <c r="U45" i="1" s="1"/>
  <c r="I46" i="1"/>
  <c r="I47" i="1"/>
  <c r="I48" i="1"/>
  <c r="I49" i="1"/>
  <c r="S49" i="1" s="1"/>
  <c r="U49" i="1" s="1"/>
  <c r="I52" i="1"/>
  <c r="I53" i="1"/>
  <c r="I54" i="1"/>
  <c r="I55" i="1"/>
  <c r="I56" i="1"/>
  <c r="I57" i="1"/>
  <c r="I58" i="1"/>
  <c r="I59" i="1"/>
  <c r="I60" i="1"/>
  <c r="I61" i="1"/>
  <c r="I62" i="1"/>
  <c r="I63" i="1"/>
  <c r="I64" i="1"/>
  <c r="I65" i="1"/>
  <c r="I66" i="1"/>
  <c r="I67" i="1"/>
  <c r="I68" i="1"/>
  <c r="I33" i="1"/>
  <c r="S33" i="1" s="1"/>
  <c r="U33" i="1" s="1"/>
  <c r="I34" i="1"/>
  <c r="I32" i="1"/>
  <c r="S32" i="1" s="1"/>
  <c r="U32" i="1" s="1"/>
  <c r="B7" i="20"/>
  <c r="F7" i="20" s="1"/>
  <c r="B8" i="20"/>
  <c r="B9" i="20"/>
  <c r="F9" i="20" s="1"/>
  <c r="AS15" i="1" l="1"/>
  <c r="AO15" i="1"/>
  <c r="AQ15" i="1"/>
  <c r="AS17" i="1"/>
  <c r="AO17" i="1"/>
  <c r="AQ17" i="1"/>
  <c r="AS11" i="1"/>
  <c r="AO11" i="1"/>
  <c r="AV11" i="1" s="1"/>
  <c r="AW11" i="1" s="1"/>
  <c r="AQ11" i="1"/>
  <c r="AS20" i="1"/>
  <c r="AO20" i="1"/>
  <c r="AQ20" i="1"/>
  <c r="AS25" i="1"/>
  <c r="AO25" i="1"/>
  <c r="AV25" i="1" s="1"/>
  <c r="AW25" i="1" s="1"/>
  <c r="AQ25" i="1"/>
  <c r="D132" i="19"/>
  <c r="G132" i="19"/>
  <c r="E132" i="19"/>
  <c r="H132" i="19"/>
  <c r="F132" i="19"/>
  <c r="K100" i="1"/>
  <c r="B34" i="20"/>
  <c r="I98" i="1"/>
  <c r="K96" i="1"/>
  <c r="J94" i="1"/>
  <c r="I94" i="1"/>
  <c r="B32" i="20"/>
  <c r="J92" i="1"/>
  <c r="I92" i="1"/>
  <c r="K89" i="1"/>
  <c r="K87" i="1"/>
  <c r="K85" i="1"/>
  <c r="B30" i="20"/>
  <c r="I83" i="1"/>
  <c r="I81" i="1"/>
  <c r="S81" i="1" s="1"/>
  <c r="I79" i="1"/>
  <c r="S79" i="1" s="1"/>
  <c r="I77" i="1"/>
  <c r="S77" i="1" s="1"/>
  <c r="B45" i="20"/>
  <c r="I123" i="1"/>
  <c r="K121" i="1"/>
  <c r="B43" i="20"/>
  <c r="I115" i="1"/>
  <c r="K108" i="1"/>
  <c r="K106" i="1"/>
  <c r="K104" i="1"/>
  <c r="K128" i="1"/>
  <c r="B55" i="20"/>
  <c r="I143" i="1"/>
  <c r="K141" i="1"/>
  <c r="K139" i="1"/>
  <c r="K137" i="1"/>
  <c r="K135" i="1"/>
  <c r="K133" i="1"/>
  <c r="S121" i="1"/>
  <c r="S104" i="1"/>
  <c r="S89" i="1"/>
  <c r="K99" i="1"/>
  <c r="K97" i="1"/>
  <c r="B33" i="20"/>
  <c r="I95" i="1"/>
  <c r="I93" i="1"/>
  <c r="J93" i="1"/>
  <c r="K91" i="1"/>
  <c r="D31" i="20"/>
  <c r="I88" i="1"/>
  <c r="K86" i="1"/>
  <c r="K84" i="1"/>
  <c r="K82" i="1"/>
  <c r="S82" i="1"/>
  <c r="I80" i="1"/>
  <c r="I78" i="1"/>
  <c r="I76" i="1"/>
  <c r="I74" i="1"/>
  <c r="B40" i="20"/>
  <c r="I102" i="1"/>
  <c r="K122" i="1"/>
  <c r="K109" i="1"/>
  <c r="K107" i="1"/>
  <c r="K105" i="1"/>
  <c r="K103" i="1"/>
  <c r="S103" i="1"/>
  <c r="B56" i="20"/>
  <c r="I144" i="1"/>
  <c r="K142" i="1"/>
  <c r="B54" i="20"/>
  <c r="I140" i="1"/>
  <c r="K136" i="1"/>
  <c r="K130" i="1"/>
  <c r="S122" i="1"/>
  <c r="S100" i="1"/>
  <c r="S108" i="1"/>
  <c r="S96" i="1"/>
  <c r="S106" i="1"/>
  <c r="B5" i="20"/>
  <c r="F5" i="20" s="1"/>
  <c r="B4" i="20"/>
  <c r="F4" i="20" s="1"/>
  <c r="B51" i="20"/>
  <c r="B53" i="20"/>
  <c r="I138" i="1"/>
  <c r="K134" i="1"/>
  <c r="K131" i="1"/>
  <c r="I149" i="1"/>
  <c r="K129" i="1"/>
  <c r="S129" i="1"/>
  <c r="B52" i="20"/>
  <c r="I132" i="1"/>
  <c r="B44" i="20"/>
  <c r="I117" i="1"/>
  <c r="B42" i="20"/>
  <c r="I112" i="1"/>
  <c r="B41" i="20"/>
  <c r="I110" i="1"/>
  <c r="I75" i="1"/>
  <c r="K132" i="19"/>
  <c r="S73" i="1"/>
  <c r="K73" i="1"/>
  <c r="S70" i="1"/>
  <c r="K70" i="1"/>
  <c r="S72" i="1"/>
  <c r="K72" i="1"/>
  <c r="S71" i="1"/>
  <c r="K71" i="1"/>
  <c r="B6" i="20"/>
  <c r="F6" i="20" s="1"/>
  <c r="K34" i="1"/>
  <c r="S34" i="1"/>
  <c r="U34" i="1" s="1"/>
  <c r="K68" i="1"/>
  <c r="K66" i="1"/>
  <c r="K64" i="1"/>
  <c r="K62" i="1"/>
  <c r="K60" i="1"/>
  <c r="K58" i="1"/>
  <c r="K56" i="1"/>
  <c r="K54" i="1"/>
  <c r="K52" i="1"/>
  <c r="K48" i="1"/>
  <c r="S48" i="1"/>
  <c r="U48" i="1" s="1"/>
  <c r="S46" i="1"/>
  <c r="U46" i="1" s="1"/>
  <c r="K46" i="1"/>
  <c r="K44" i="1"/>
  <c r="S44" i="1"/>
  <c r="U44" i="1" s="1"/>
  <c r="S42" i="1"/>
  <c r="U42" i="1" s="1"/>
  <c r="K42" i="1"/>
  <c r="K40" i="1"/>
  <c r="S40" i="1"/>
  <c r="U40" i="1" s="1"/>
  <c r="S38" i="1"/>
  <c r="U38" i="1" s="1"/>
  <c r="K38" i="1"/>
  <c r="B15" i="20"/>
  <c r="F15" i="20" s="1"/>
  <c r="B19" i="20"/>
  <c r="F19" i="20" s="1"/>
  <c r="B21" i="20"/>
  <c r="F21" i="20" s="1"/>
  <c r="B28" i="20"/>
  <c r="S66" i="1"/>
  <c r="U66" i="1" s="1"/>
  <c r="S62" i="1"/>
  <c r="U62" i="1" s="1"/>
  <c r="S58" i="1"/>
  <c r="U58" i="1" s="1"/>
  <c r="S54" i="1"/>
  <c r="U54" i="1" s="1"/>
  <c r="K32" i="1"/>
  <c r="K33" i="1"/>
  <c r="K67" i="1"/>
  <c r="S67" i="1"/>
  <c r="U67" i="1" s="1"/>
  <c r="K65" i="1"/>
  <c r="S65" i="1"/>
  <c r="U65" i="1" s="1"/>
  <c r="K63" i="1"/>
  <c r="S63" i="1"/>
  <c r="U63" i="1" s="1"/>
  <c r="K61" i="1"/>
  <c r="S61" i="1"/>
  <c r="U61" i="1" s="1"/>
  <c r="K59" i="1"/>
  <c r="S59" i="1"/>
  <c r="U59" i="1" s="1"/>
  <c r="K57" i="1"/>
  <c r="S57" i="1"/>
  <c r="U57" i="1" s="1"/>
  <c r="K55" i="1"/>
  <c r="S55" i="1"/>
  <c r="U55" i="1" s="1"/>
  <c r="K53" i="1"/>
  <c r="S53" i="1"/>
  <c r="U53" i="1" s="1"/>
  <c r="K49" i="1"/>
  <c r="K47" i="1"/>
  <c r="K45" i="1"/>
  <c r="K43" i="1"/>
  <c r="K41" i="1"/>
  <c r="K39" i="1"/>
  <c r="K37" i="1"/>
  <c r="B16" i="20"/>
  <c r="F16" i="20" s="1"/>
  <c r="B18" i="20"/>
  <c r="F18" i="20" s="1"/>
  <c r="B20" i="20"/>
  <c r="F20" i="20" s="1"/>
  <c r="B22" i="20"/>
  <c r="F22" i="20" s="1"/>
  <c r="B27" i="20"/>
  <c r="B29" i="20"/>
  <c r="S47" i="1"/>
  <c r="U47" i="1" s="1"/>
  <c r="S43" i="1"/>
  <c r="U43" i="1" s="1"/>
  <c r="S39" i="1"/>
  <c r="U39" i="1" s="1"/>
  <c r="S68" i="1"/>
  <c r="U68" i="1" s="1"/>
  <c r="S64" i="1"/>
  <c r="U64" i="1" s="1"/>
  <c r="S60" i="1"/>
  <c r="U60" i="1" s="1"/>
  <c r="S56" i="1"/>
  <c r="U56" i="1" s="1"/>
  <c r="S52" i="1"/>
  <c r="U52" i="1" s="1"/>
  <c r="K31" i="1"/>
  <c r="U9" i="1"/>
  <c r="B3" i="20"/>
  <c r="F3" i="20" s="1"/>
  <c r="AV20" i="1" l="1"/>
  <c r="AW20" i="1" s="1"/>
  <c r="AV17" i="1"/>
  <c r="AW17" i="1" s="1"/>
  <c r="AV15" i="1"/>
  <c r="AW15" i="1" s="1"/>
  <c r="AS16" i="1"/>
  <c r="AO16" i="1"/>
  <c r="AQ16" i="1"/>
  <c r="AS26" i="1"/>
  <c r="AO26" i="1"/>
  <c r="AQ26" i="1"/>
  <c r="AQ41" i="1"/>
  <c r="AS41" i="1"/>
  <c r="AO41" i="1"/>
  <c r="AQ49" i="1"/>
  <c r="AS49" i="1"/>
  <c r="AO49" i="1"/>
  <c r="AS33" i="1"/>
  <c r="AO33" i="1"/>
  <c r="AQ33" i="1"/>
  <c r="AQ40" i="1"/>
  <c r="AS40" i="1"/>
  <c r="AO40" i="1"/>
  <c r="AV40" i="1" s="1"/>
  <c r="AW40" i="1" s="1"/>
  <c r="AQ44" i="1"/>
  <c r="AS44" i="1"/>
  <c r="AO44" i="1"/>
  <c r="AQ52" i="1"/>
  <c r="AS52" i="1"/>
  <c r="AO52" i="1"/>
  <c r="AV52" i="1" s="1"/>
  <c r="AW52" i="1" s="1"/>
  <c r="AS54" i="1"/>
  <c r="AO54" i="1"/>
  <c r="D83" i="8"/>
  <c r="J83" i="8" s="1"/>
  <c r="AQ54" i="1"/>
  <c r="AQ58" i="1"/>
  <c r="AO58" i="1"/>
  <c r="AS58" i="1"/>
  <c r="D87" i="8"/>
  <c r="J87" i="8" s="1"/>
  <c r="AS60" i="1"/>
  <c r="AO60" i="1"/>
  <c r="AQ60" i="1"/>
  <c r="D89" i="8"/>
  <c r="J89" i="8" s="1"/>
  <c r="AS62" i="1"/>
  <c r="AO62" i="1"/>
  <c r="AV62" i="1" s="1"/>
  <c r="AW62" i="1" s="1"/>
  <c r="AQ62" i="1"/>
  <c r="AS64" i="1"/>
  <c r="AO64" i="1"/>
  <c r="AQ64" i="1"/>
  <c r="AS66" i="1"/>
  <c r="AO66" i="1"/>
  <c r="AV66" i="1" s="1"/>
  <c r="AW66" i="1" s="1"/>
  <c r="AQ66" i="1"/>
  <c r="AS68" i="1"/>
  <c r="AO68" i="1"/>
  <c r="AQ68" i="1"/>
  <c r="AS37" i="1"/>
  <c r="AO37" i="1"/>
  <c r="AQ37" i="1"/>
  <c r="AQ45" i="1"/>
  <c r="AS45" i="1"/>
  <c r="AO45" i="1"/>
  <c r="AV45" i="1" s="1"/>
  <c r="AW45" i="1" s="1"/>
  <c r="AS32" i="1"/>
  <c r="AO32" i="1"/>
  <c r="AQ32" i="1"/>
  <c r="AQ48" i="1"/>
  <c r="AS48" i="1"/>
  <c r="AO48" i="1"/>
  <c r="AV48" i="1" s="1"/>
  <c r="AW48" i="1" s="1"/>
  <c r="AQ56" i="1"/>
  <c r="AO56" i="1"/>
  <c r="AS56" i="1"/>
  <c r="D85" i="8"/>
  <c r="J85" i="8" s="1"/>
  <c r="AQ39" i="1"/>
  <c r="AS39" i="1"/>
  <c r="AO39" i="1"/>
  <c r="AQ43" i="1"/>
  <c r="AS43" i="1"/>
  <c r="AO43" i="1"/>
  <c r="AV43" i="1" s="1"/>
  <c r="AW43" i="1" s="1"/>
  <c r="AQ47" i="1"/>
  <c r="AS47" i="1"/>
  <c r="AO47" i="1"/>
  <c r="AQ53" i="1"/>
  <c r="AS53" i="1"/>
  <c r="AO53" i="1"/>
  <c r="AV53" i="1" s="1"/>
  <c r="AW53" i="1" s="1"/>
  <c r="AS55" i="1"/>
  <c r="AO55" i="1"/>
  <c r="AQ55" i="1"/>
  <c r="AS57" i="1"/>
  <c r="AO57" i="1"/>
  <c r="AQ57" i="1"/>
  <c r="D86" i="8"/>
  <c r="J86" i="8" s="1"/>
  <c r="AQ59" i="1"/>
  <c r="AO59" i="1"/>
  <c r="AS59" i="1"/>
  <c r="AS61" i="1"/>
  <c r="AO61" i="1"/>
  <c r="AQ61" i="1"/>
  <c r="AS63" i="1"/>
  <c r="AO63" i="1"/>
  <c r="AQ63" i="1"/>
  <c r="AS65" i="1"/>
  <c r="AO65" i="1"/>
  <c r="AQ65" i="1"/>
  <c r="AS67" i="1"/>
  <c r="AO67" i="1"/>
  <c r="AQ67" i="1"/>
  <c r="AQ38" i="1"/>
  <c r="AS38" i="1"/>
  <c r="AO38" i="1"/>
  <c r="AQ42" i="1"/>
  <c r="AS42" i="1"/>
  <c r="AO42" i="1"/>
  <c r="AV42" i="1" s="1"/>
  <c r="AW42" i="1" s="1"/>
  <c r="AQ46" i="1"/>
  <c r="AS46" i="1"/>
  <c r="AO46" i="1"/>
  <c r="AS34" i="1"/>
  <c r="AO34" i="1"/>
  <c r="AQ34" i="1"/>
  <c r="F10" i="20"/>
  <c r="D27" i="20"/>
  <c r="F27" i="20"/>
  <c r="D41" i="20"/>
  <c r="F41" i="20"/>
  <c r="D42" i="20"/>
  <c r="F42" i="20"/>
  <c r="D44" i="20"/>
  <c r="F44" i="20"/>
  <c r="D52" i="20"/>
  <c r="F52" i="20"/>
  <c r="D51" i="20"/>
  <c r="F51" i="20"/>
  <c r="D54" i="20"/>
  <c r="F54" i="20"/>
  <c r="D56" i="20"/>
  <c r="F56" i="20"/>
  <c r="D55" i="20"/>
  <c r="F55" i="20"/>
  <c r="D43" i="20"/>
  <c r="F43" i="20"/>
  <c r="D45" i="20"/>
  <c r="F45" i="20"/>
  <c r="D34" i="20"/>
  <c r="F34" i="20"/>
  <c r="D29" i="20"/>
  <c r="F29" i="20"/>
  <c r="D28" i="20"/>
  <c r="F28" i="20"/>
  <c r="D53" i="20"/>
  <c r="F53" i="20"/>
  <c r="D40" i="20"/>
  <c r="F40" i="20"/>
  <c r="D33" i="20"/>
  <c r="F33" i="20"/>
  <c r="D30" i="20"/>
  <c r="F30" i="20"/>
  <c r="I153" i="1"/>
  <c r="S94" i="1"/>
  <c r="I101" i="1"/>
  <c r="B46" i="20"/>
  <c r="B64" i="20" s="1"/>
  <c r="F64" i="20" s="1"/>
  <c r="K149" i="1"/>
  <c r="K102" i="1"/>
  <c r="S102" i="1"/>
  <c r="K74" i="1"/>
  <c r="K76" i="1"/>
  <c r="K78" i="1"/>
  <c r="K80" i="1"/>
  <c r="K93" i="1"/>
  <c r="J101" i="1"/>
  <c r="J147" i="1" s="1"/>
  <c r="C32" i="20"/>
  <c r="S92" i="1"/>
  <c r="J154" i="1"/>
  <c r="K94" i="1"/>
  <c r="K98" i="1"/>
  <c r="S98" i="1"/>
  <c r="B35" i="20"/>
  <c r="B63" i="20" s="1"/>
  <c r="K140" i="1"/>
  <c r="K144" i="1"/>
  <c r="K151" i="1" s="1"/>
  <c r="I151" i="1"/>
  <c r="S74" i="1"/>
  <c r="S76" i="1"/>
  <c r="S78" i="1"/>
  <c r="S80" i="1"/>
  <c r="K88" i="1"/>
  <c r="S88" i="1"/>
  <c r="S93" i="1"/>
  <c r="K95" i="1"/>
  <c r="S95" i="1"/>
  <c r="K143" i="1"/>
  <c r="K115" i="1"/>
  <c r="S115" i="1"/>
  <c r="K123" i="1"/>
  <c r="S123" i="1"/>
  <c r="K77" i="1"/>
  <c r="K79" i="1"/>
  <c r="K81" i="1"/>
  <c r="K83" i="1"/>
  <c r="K92" i="1"/>
  <c r="D57" i="20"/>
  <c r="D65" i="20" s="1"/>
  <c r="I155" i="1"/>
  <c r="K138" i="1"/>
  <c r="K155" i="1" s="1"/>
  <c r="B57" i="20"/>
  <c r="B65" i="20" s="1"/>
  <c r="F65" i="20" s="1"/>
  <c r="K132" i="1"/>
  <c r="I150" i="1"/>
  <c r="S132" i="1"/>
  <c r="I145" i="1"/>
  <c r="K117" i="1"/>
  <c r="S117" i="1"/>
  <c r="K112" i="1"/>
  <c r="S112" i="1"/>
  <c r="K110" i="1"/>
  <c r="I157" i="1"/>
  <c r="I124" i="1"/>
  <c r="S110" i="1"/>
  <c r="I154" i="1"/>
  <c r="K75" i="1"/>
  <c r="S75" i="1"/>
  <c r="B10" i="20"/>
  <c r="B61" i="20" s="1"/>
  <c r="AV41" i="1" l="1"/>
  <c r="AW41" i="1" s="1"/>
  <c r="AV46" i="1"/>
  <c r="AW46" i="1" s="1"/>
  <c r="AV38" i="1"/>
  <c r="AW38" i="1" s="1"/>
  <c r="AV47" i="1"/>
  <c r="AW47" i="1" s="1"/>
  <c r="AV39" i="1"/>
  <c r="AW39" i="1" s="1"/>
  <c r="AV64" i="1"/>
  <c r="AW64" i="1" s="1"/>
  <c r="AV44" i="1"/>
  <c r="AW44" i="1" s="1"/>
  <c r="AV49" i="1"/>
  <c r="AW49" i="1" s="1"/>
  <c r="AV26" i="1"/>
  <c r="AW26" i="1" s="1"/>
  <c r="D63" i="8"/>
  <c r="J63" i="8" s="1"/>
  <c r="AV34" i="1"/>
  <c r="AW34" i="1" s="1"/>
  <c r="D75" i="8"/>
  <c r="J75" i="8" s="1"/>
  <c r="D71" i="8"/>
  <c r="J71" i="8" s="1"/>
  <c r="D67" i="8"/>
  <c r="J67" i="8" s="1"/>
  <c r="D96" i="8"/>
  <c r="J96" i="8" s="1"/>
  <c r="AV67" i="1"/>
  <c r="AW67" i="1" s="1"/>
  <c r="D94" i="8"/>
  <c r="J94" i="8" s="1"/>
  <c r="AV65" i="1"/>
  <c r="AW65" i="1" s="1"/>
  <c r="D92" i="8"/>
  <c r="J92" i="8" s="1"/>
  <c r="AV63" i="1"/>
  <c r="AW63" i="1" s="1"/>
  <c r="D90" i="8"/>
  <c r="J90" i="8" s="1"/>
  <c r="AV61" i="1"/>
  <c r="AW61" i="1" s="1"/>
  <c r="D88" i="8"/>
  <c r="J88" i="8" s="1"/>
  <c r="AV59" i="1"/>
  <c r="AW59" i="1" s="1"/>
  <c r="AV57" i="1"/>
  <c r="D84" i="8"/>
  <c r="J84" i="8" s="1"/>
  <c r="AV55" i="1"/>
  <c r="AW55" i="1" s="1"/>
  <c r="D82" i="8"/>
  <c r="J82" i="8" s="1"/>
  <c r="D76" i="8"/>
  <c r="J76" i="8" s="1"/>
  <c r="D72" i="8"/>
  <c r="J72" i="8" s="1"/>
  <c r="D68" i="8"/>
  <c r="J68" i="8" s="1"/>
  <c r="AV56" i="1"/>
  <c r="D77" i="8"/>
  <c r="J77" i="8" s="1"/>
  <c r="D61" i="8"/>
  <c r="J61" i="8" s="1"/>
  <c r="AV32" i="1"/>
  <c r="AW32" i="1" s="1"/>
  <c r="D74" i="8"/>
  <c r="J74" i="8" s="1"/>
  <c r="D66" i="8"/>
  <c r="J66" i="8" s="1"/>
  <c r="AV37" i="1"/>
  <c r="AW37" i="1" s="1"/>
  <c r="D97" i="8"/>
  <c r="J97" i="8" s="1"/>
  <c r="AV68" i="1"/>
  <c r="AW68" i="1" s="1"/>
  <c r="D95" i="8"/>
  <c r="J95" i="8" s="1"/>
  <c r="D93" i="8"/>
  <c r="J93" i="8" s="1"/>
  <c r="D91" i="8"/>
  <c r="J91" i="8" s="1"/>
  <c r="AV60" i="1"/>
  <c r="AV58" i="1"/>
  <c r="AV54" i="1"/>
  <c r="D81" i="8"/>
  <c r="J81" i="8" s="1"/>
  <c r="D73" i="8"/>
  <c r="J73" i="8" s="1"/>
  <c r="D69" i="8"/>
  <c r="J69" i="8" s="1"/>
  <c r="D62" i="8"/>
  <c r="J62" i="8" s="1"/>
  <c r="AV33" i="1"/>
  <c r="AW33" i="1" s="1"/>
  <c r="D78" i="8"/>
  <c r="J78" i="8" s="1"/>
  <c r="D70" i="8"/>
  <c r="J70" i="8" s="1"/>
  <c r="AV16" i="1"/>
  <c r="AW16" i="1" s="1"/>
  <c r="D46" i="20"/>
  <c r="D64" i="20" s="1"/>
  <c r="C35" i="20"/>
  <c r="C63" i="20" s="1"/>
  <c r="F63" i="20" s="1"/>
  <c r="F32" i="20"/>
  <c r="F57" i="20"/>
  <c r="F35" i="20"/>
  <c r="F46" i="20"/>
  <c r="D32" i="20"/>
  <c r="D35" i="20" s="1"/>
  <c r="D63" i="20" s="1"/>
  <c r="K154" i="1"/>
  <c r="K101" i="1"/>
  <c r="K153" i="1"/>
  <c r="K150" i="1"/>
  <c r="K145" i="1"/>
  <c r="K157" i="1"/>
  <c r="K124" i="1"/>
  <c r="O65" i="8" l="1"/>
  <c r="L65" i="8"/>
  <c r="N65" i="8"/>
  <c r="M65" i="8"/>
  <c r="O66" i="8"/>
  <c r="L66" i="8"/>
  <c r="M66" i="8"/>
  <c r="N66" i="8"/>
  <c r="O67" i="8"/>
  <c r="N67" i="8"/>
  <c r="L67" i="8"/>
  <c r="M67" i="8"/>
  <c r="O69" i="8"/>
  <c r="N69" i="8"/>
  <c r="L69" i="8"/>
  <c r="M69" i="8"/>
  <c r="O63" i="8"/>
  <c r="L63" i="8"/>
  <c r="N63" i="8"/>
  <c r="M63" i="8"/>
  <c r="O62" i="8"/>
  <c r="L62" i="8"/>
  <c r="M62" i="8"/>
  <c r="N62" i="8"/>
  <c r="O68" i="8"/>
  <c r="N68" i="8"/>
  <c r="M68" i="8"/>
  <c r="L68" i="8"/>
  <c r="P68" i="8" s="1"/>
  <c r="Q68" i="8" s="1"/>
  <c r="B113" i="8" s="1"/>
  <c r="S126" i="1"/>
  <c r="T128" i="1"/>
  <c r="T130" i="1"/>
  <c r="T131" i="1"/>
  <c r="T132" i="1"/>
  <c r="T133" i="1"/>
  <c r="T134" i="1"/>
  <c r="S141" i="1"/>
  <c r="T141" i="1"/>
  <c r="T143" i="1"/>
  <c r="S144" i="1"/>
  <c r="O126" i="1"/>
  <c r="O127" i="1"/>
  <c r="Q128" i="1"/>
  <c r="Q129" i="1"/>
  <c r="Q130" i="1"/>
  <c r="Q131" i="1"/>
  <c r="Q132" i="1"/>
  <c r="Q133" i="1"/>
  <c r="Q134" i="1"/>
  <c r="Q135" i="1"/>
  <c r="Q136" i="1"/>
  <c r="Q138" i="1"/>
  <c r="Q139" i="1"/>
  <c r="Q140" i="1"/>
  <c r="Q141" i="1"/>
  <c r="Q142" i="1"/>
  <c r="Q143" i="1"/>
  <c r="Q144" i="1"/>
  <c r="M126" i="1"/>
  <c r="M127" i="1"/>
  <c r="O128" i="1"/>
  <c r="O129" i="1"/>
  <c r="O130" i="1"/>
  <c r="O131" i="1"/>
  <c r="O132" i="1"/>
  <c r="O133" i="1"/>
  <c r="O134" i="1"/>
  <c r="O135" i="1"/>
  <c r="O136" i="1"/>
  <c r="O138" i="1"/>
  <c r="O139" i="1"/>
  <c r="O140" i="1"/>
  <c r="O141" i="1"/>
  <c r="O142" i="1"/>
  <c r="O143" i="1"/>
  <c r="O144" i="1"/>
  <c r="M128" i="1"/>
  <c r="M129" i="1"/>
  <c r="M130" i="1"/>
  <c r="M131" i="1"/>
  <c r="M132" i="1"/>
  <c r="M133" i="1"/>
  <c r="M134" i="1"/>
  <c r="M135" i="1"/>
  <c r="M136" i="1"/>
  <c r="M138" i="1"/>
  <c r="M139" i="1"/>
  <c r="M140" i="1"/>
  <c r="M141" i="1"/>
  <c r="M142" i="1"/>
  <c r="M143" i="1"/>
  <c r="M144" i="1"/>
  <c r="P126" i="1"/>
  <c r="P127" i="1"/>
  <c r="R128" i="1"/>
  <c r="R129" i="1"/>
  <c r="R130" i="1"/>
  <c r="R131" i="1"/>
  <c r="R132" i="1"/>
  <c r="R133" i="1"/>
  <c r="R134" i="1"/>
  <c r="R135" i="1"/>
  <c r="R136" i="1"/>
  <c r="R138" i="1"/>
  <c r="R139" i="1"/>
  <c r="R140" i="1"/>
  <c r="R141" i="1"/>
  <c r="R142" i="1"/>
  <c r="R143" i="1"/>
  <c r="R144" i="1"/>
  <c r="P125" i="1"/>
  <c r="O125" i="1"/>
  <c r="M125" i="1"/>
  <c r="U135" i="1" l="1"/>
  <c r="AS135" i="1"/>
  <c r="AO135" i="1"/>
  <c r="AQ135" i="1"/>
  <c r="D113" i="8"/>
  <c r="W21" i="20"/>
  <c r="X21" i="20" s="1"/>
  <c r="P62" i="8"/>
  <c r="P63" i="8"/>
  <c r="Q63" i="8" s="1"/>
  <c r="B108" i="8" s="1"/>
  <c r="P66" i="8"/>
  <c r="Q66" i="8" s="1"/>
  <c r="B111" i="8" s="1"/>
  <c r="P65" i="8"/>
  <c r="Q65" i="8" s="1"/>
  <c r="B110" i="8" s="1"/>
  <c r="P73" i="8"/>
  <c r="P67" i="8"/>
  <c r="Q67" i="8" s="1"/>
  <c r="B112" i="8" s="1"/>
  <c r="T125" i="1"/>
  <c r="R125" i="1"/>
  <c r="R127" i="1"/>
  <c r="T127" i="1"/>
  <c r="Q125" i="1"/>
  <c r="S125" i="1"/>
  <c r="Q127" i="1"/>
  <c r="S127" i="1"/>
  <c r="Q126" i="1"/>
  <c r="U128" i="1" l="1"/>
  <c r="AS128" i="1"/>
  <c r="AO128" i="1"/>
  <c r="AV128" i="1" s="1"/>
  <c r="AW128" i="1" s="1"/>
  <c r="AQ128" i="1"/>
  <c r="U131" i="1"/>
  <c r="AQ131" i="1"/>
  <c r="AS131" i="1"/>
  <c r="AO131" i="1"/>
  <c r="U136" i="1"/>
  <c r="AS136" i="1"/>
  <c r="AO136" i="1"/>
  <c r="AV136" i="1" s="1"/>
  <c r="AW136" i="1" s="1"/>
  <c r="AQ136" i="1"/>
  <c r="U143" i="1"/>
  <c r="AS143" i="1"/>
  <c r="AO143" i="1"/>
  <c r="AQ143" i="1"/>
  <c r="U140" i="1"/>
  <c r="AQ140" i="1"/>
  <c r="AS140" i="1"/>
  <c r="AO140" i="1"/>
  <c r="U133" i="1"/>
  <c r="AS133" i="1"/>
  <c r="AO133" i="1"/>
  <c r="AQ133" i="1"/>
  <c r="U134" i="1"/>
  <c r="AS134" i="1"/>
  <c r="AO134" i="1"/>
  <c r="AV134" i="1" s="1"/>
  <c r="AW134" i="1" s="1"/>
  <c r="AQ134" i="1"/>
  <c r="U138" i="1"/>
  <c r="AQ138" i="1"/>
  <c r="AS138" i="1"/>
  <c r="AO138" i="1"/>
  <c r="U139" i="1"/>
  <c r="AQ139" i="1"/>
  <c r="AO139" i="1"/>
  <c r="AV139" i="1" s="1"/>
  <c r="AW139" i="1" s="1"/>
  <c r="AS139" i="1"/>
  <c r="W19" i="20"/>
  <c r="P72" i="8"/>
  <c r="P74" i="8" s="1"/>
  <c r="Q62" i="8"/>
  <c r="B107" i="8" s="1"/>
  <c r="U130" i="1"/>
  <c r="AQ130" i="1"/>
  <c r="AO130" i="1"/>
  <c r="AS130" i="1"/>
  <c r="U142" i="1"/>
  <c r="AS142" i="1"/>
  <c r="AO142" i="1"/>
  <c r="AQ142" i="1"/>
  <c r="W20" i="20"/>
  <c r="W18" i="20"/>
  <c r="D108" i="8"/>
  <c r="W16" i="20"/>
  <c r="X16" i="20" s="1"/>
  <c r="AV135" i="1"/>
  <c r="AW135" i="1" s="1"/>
  <c r="U132" i="1"/>
  <c r="AQ132" i="1"/>
  <c r="AS132" i="1"/>
  <c r="AO132" i="1"/>
  <c r="U125" i="1"/>
  <c r="AQ125" i="1"/>
  <c r="AS125" i="1"/>
  <c r="AO125" i="1"/>
  <c r="U126" i="1"/>
  <c r="AQ126" i="1"/>
  <c r="AS126" i="1"/>
  <c r="AO126" i="1"/>
  <c r="U129" i="1"/>
  <c r="AQ129" i="1"/>
  <c r="AS129" i="1"/>
  <c r="AO129" i="1"/>
  <c r="U127" i="1"/>
  <c r="AQ127" i="1"/>
  <c r="AS127" i="1"/>
  <c r="AO127" i="1"/>
  <c r="U141" i="1"/>
  <c r="AS141" i="1"/>
  <c r="AO141" i="1"/>
  <c r="AQ141" i="1"/>
  <c r="U144" i="1"/>
  <c r="AS144" i="1"/>
  <c r="AO144" i="1"/>
  <c r="AQ144" i="1"/>
  <c r="AV142" i="1" l="1"/>
  <c r="AW142" i="1" s="1"/>
  <c r="AV138" i="1"/>
  <c r="AW138" i="1" s="1"/>
  <c r="AV131" i="1"/>
  <c r="AW131" i="1" s="1"/>
  <c r="AV141" i="1"/>
  <c r="AW141" i="1" s="1"/>
  <c r="AV127" i="1"/>
  <c r="AW127" i="1" s="1"/>
  <c r="AV126" i="1"/>
  <c r="AW126" i="1" s="1"/>
  <c r="AV132" i="1"/>
  <c r="AW132" i="1" s="1"/>
  <c r="AV130" i="1"/>
  <c r="AW130" i="1" s="1"/>
  <c r="AV133" i="1"/>
  <c r="AW133" i="1" s="1"/>
  <c r="AV140" i="1"/>
  <c r="AW140" i="1" s="1"/>
  <c r="AV143" i="1"/>
  <c r="AW143" i="1" s="1"/>
  <c r="D107" i="8"/>
  <c r="W15" i="20"/>
  <c r="X15" i="20" s="1"/>
  <c r="AV144" i="1"/>
  <c r="AW144" i="1" s="1"/>
  <c r="AV129" i="1"/>
  <c r="AW129" i="1" s="1"/>
  <c r="AV125" i="1"/>
  <c r="AW125" i="1" s="1"/>
  <c r="AA9" i="1"/>
  <c r="AI120" i="1" l="1"/>
  <c r="AI119" i="1"/>
  <c r="AI118" i="1"/>
  <c r="AI116" i="1"/>
  <c r="AI114" i="1"/>
  <c r="AI113" i="1"/>
  <c r="AI111" i="1"/>
  <c r="AI109" i="1"/>
  <c r="AI101" i="1"/>
  <c r="AI69" i="1"/>
  <c r="A37" i="16"/>
  <c r="A38" i="7"/>
  <c r="A36" i="7"/>
  <c r="A35" i="7"/>
  <c r="A34" i="7"/>
  <c r="A33" i="7"/>
  <c r="A32" i="7"/>
  <c r="A54" i="8" l="1"/>
  <c r="A53" i="8"/>
  <c r="A50" i="8"/>
  <c r="A49" i="8"/>
  <c r="A48" i="8"/>
  <c r="A47" i="8"/>
  <c r="A46" i="8"/>
  <c r="H102" i="1" l="1"/>
  <c r="G102" i="1"/>
  <c r="H100" i="1"/>
  <c r="G100" i="1"/>
  <c r="H99" i="1"/>
  <c r="G99" i="1"/>
  <c r="H98" i="1"/>
  <c r="G98" i="1"/>
  <c r="H97" i="1"/>
  <c r="G97" i="1"/>
  <c r="H96" i="1"/>
  <c r="G96" i="1"/>
  <c r="H95" i="1"/>
  <c r="G95" i="1"/>
  <c r="H94" i="1"/>
  <c r="G94" i="1"/>
  <c r="H93" i="1"/>
  <c r="G93" i="1"/>
  <c r="H92" i="1"/>
  <c r="G92" i="1"/>
  <c r="H91" i="1"/>
  <c r="G91" i="1"/>
  <c r="H89" i="1"/>
  <c r="G89" i="1"/>
  <c r="H88" i="1"/>
  <c r="G88" i="1"/>
  <c r="H82" i="1"/>
  <c r="G82" i="1"/>
  <c r="H81" i="1"/>
  <c r="G81" i="1"/>
  <c r="H80" i="1"/>
  <c r="G80" i="1"/>
  <c r="H79" i="1"/>
  <c r="G79" i="1"/>
  <c r="H78" i="1"/>
  <c r="G78" i="1"/>
  <c r="H77" i="1"/>
  <c r="G77" i="1"/>
  <c r="H76" i="1"/>
  <c r="G76" i="1"/>
  <c r="H75" i="1"/>
  <c r="G75" i="1"/>
  <c r="H74" i="1"/>
  <c r="G74" i="1"/>
  <c r="H73" i="1"/>
  <c r="G73" i="1"/>
  <c r="H72" i="1"/>
  <c r="G72" i="1"/>
  <c r="H71" i="1"/>
  <c r="G71" i="1"/>
  <c r="H70" i="1"/>
  <c r="G70" i="1"/>
  <c r="Q123" i="1"/>
  <c r="O123" i="1" l="1"/>
  <c r="M123" i="1"/>
  <c r="R123" i="1"/>
  <c r="T123" i="1" l="1"/>
  <c r="U123" i="1" s="1"/>
  <c r="AF9" i="1"/>
  <c r="AE9" i="1"/>
  <c r="AF30" i="1"/>
  <c r="AF29" i="1"/>
  <c r="AF28" i="1"/>
  <c r="AF24" i="1"/>
  <c r="AF23" i="1"/>
  <c r="AF22" i="1"/>
  <c r="AS123" i="1" l="1"/>
  <c r="AO123" i="1"/>
  <c r="AQ123" i="1"/>
  <c r="AC9" i="1"/>
  <c r="AH9" i="1" s="1"/>
  <c r="AA123" i="1"/>
  <c r="AE123" i="1"/>
  <c r="AC123" i="1"/>
  <c r="D54" i="17" l="1"/>
  <c r="J54" i="17" s="1"/>
  <c r="AV123" i="1"/>
  <c r="AW123" i="1" s="1"/>
  <c r="D8" i="7"/>
  <c r="Q103" i="1"/>
  <c r="Q104" i="1"/>
  <c r="Q105" i="1"/>
  <c r="Q110" i="1"/>
  <c r="Q111" i="1"/>
  <c r="Q112" i="1"/>
  <c r="Q113" i="1"/>
  <c r="Q114" i="1"/>
  <c r="Q115" i="1"/>
  <c r="Q116" i="1"/>
  <c r="Q117" i="1"/>
  <c r="Q118" i="1"/>
  <c r="Q119" i="1"/>
  <c r="Q120" i="1"/>
  <c r="Q121" i="1"/>
  <c r="Q122" i="1"/>
  <c r="Q102" i="1"/>
  <c r="O103" i="1"/>
  <c r="O104" i="1"/>
  <c r="O105" i="1"/>
  <c r="O107" i="1"/>
  <c r="O110" i="1"/>
  <c r="O111" i="1"/>
  <c r="O112" i="1"/>
  <c r="O113" i="1"/>
  <c r="O114" i="1"/>
  <c r="O115" i="1"/>
  <c r="O116" i="1"/>
  <c r="O117" i="1"/>
  <c r="O118" i="1"/>
  <c r="O119" i="1"/>
  <c r="O120" i="1"/>
  <c r="O121" i="1"/>
  <c r="O122" i="1"/>
  <c r="O102" i="1"/>
  <c r="M103" i="1"/>
  <c r="T103" i="1" s="1"/>
  <c r="U103" i="1" s="1"/>
  <c r="M104" i="1"/>
  <c r="M105" i="1"/>
  <c r="T105" i="1" s="1"/>
  <c r="U105" i="1" s="1"/>
  <c r="M110" i="1"/>
  <c r="M111" i="1"/>
  <c r="M112" i="1"/>
  <c r="M113" i="1"/>
  <c r="M114" i="1"/>
  <c r="M115" i="1"/>
  <c r="T115" i="1" s="1"/>
  <c r="U115" i="1" s="1"/>
  <c r="M116" i="1"/>
  <c r="M117" i="1"/>
  <c r="T117" i="1" s="1"/>
  <c r="U117" i="1" s="1"/>
  <c r="M118" i="1"/>
  <c r="M119" i="1"/>
  <c r="M120" i="1"/>
  <c r="M121" i="1"/>
  <c r="T121" i="1" s="1"/>
  <c r="U121" i="1" s="1"/>
  <c r="M122" i="1"/>
  <c r="M102" i="1"/>
  <c r="T102" i="1" s="1"/>
  <c r="U102" i="1" s="1"/>
  <c r="O46" i="17" l="1"/>
  <c r="N46" i="17"/>
  <c r="L46" i="17"/>
  <c r="M46" i="17"/>
  <c r="P46" i="17" s="1"/>
  <c r="Q46" i="17" s="1"/>
  <c r="O106" i="1"/>
  <c r="O108" i="1"/>
  <c r="T122" i="1"/>
  <c r="U122" i="1" s="1"/>
  <c r="T112" i="1"/>
  <c r="U112" i="1" s="1"/>
  <c r="T110" i="1"/>
  <c r="U110" i="1" s="1"/>
  <c r="M108" i="1"/>
  <c r="M107" i="1"/>
  <c r="M106" i="1"/>
  <c r="T104" i="1"/>
  <c r="U104" i="1" s="1"/>
  <c r="Q108" i="1"/>
  <c r="Q107" i="1"/>
  <c r="Q106" i="1"/>
  <c r="Q11" i="7"/>
  <c r="Q10" i="7"/>
  <c r="Q9" i="7"/>
  <c r="Q8" i="7"/>
  <c r="Q7" i="7"/>
  <c r="Q6" i="7"/>
  <c r="E54" i="17" l="1"/>
  <c r="B66" i="17"/>
  <c r="T107" i="1"/>
  <c r="U107" i="1" s="1"/>
  <c r="T106" i="1"/>
  <c r="U106" i="1" s="1"/>
  <c r="T108" i="1"/>
  <c r="U108" i="1" s="1"/>
  <c r="A25" i="18"/>
  <c r="A37" i="18" s="1"/>
  <c r="A24" i="18"/>
  <c r="A36" i="18" s="1"/>
  <c r="A8" i="18"/>
  <c r="A32" i="18" s="1"/>
  <c r="A21" i="17"/>
  <c r="A18" i="17"/>
  <c r="A17" i="17"/>
  <c r="A31" i="17" s="1"/>
  <c r="A16" i="17"/>
  <c r="A30" i="17" s="1"/>
  <c r="A15" i="17"/>
  <c r="A28" i="17"/>
  <c r="A22" i="16"/>
  <c r="A36" i="16" s="1"/>
  <c r="A21" i="16"/>
  <c r="A18" i="16"/>
  <c r="A17" i="16"/>
  <c r="A33" i="16" s="1"/>
  <c r="A32" i="16"/>
  <c r="A10" i="16"/>
  <c r="D66" i="17" l="1"/>
  <c r="W45" i="20"/>
  <c r="X45" i="20" s="1"/>
  <c r="T15" i="16"/>
  <c r="F24" i="16" s="1"/>
  <c r="C37" i="16" s="1"/>
  <c r="T12" i="16"/>
  <c r="F18" i="16" s="1"/>
  <c r="C34" i="16" s="1"/>
  <c r="A30" i="16"/>
  <c r="A34" i="16"/>
  <c r="A29" i="17"/>
  <c r="A33" i="17"/>
  <c r="A31" i="16"/>
  <c r="A35" i="16"/>
  <c r="A32" i="17"/>
  <c r="R8" i="18"/>
  <c r="F8" i="18" s="1"/>
  <c r="C32" i="18" s="1"/>
  <c r="R9" i="18"/>
  <c r="F13" i="18" s="1"/>
  <c r="C33" i="18" s="1"/>
  <c r="R10" i="18"/>
  <c r="F20" i="18" s="1"/>
  <c r="C34" i="18" s="1"/>
  <c r="R11" i="18"/>
  <c r="F21" i="18" s="1"/>
  <c r="C35" i="18" s="1"/>
  <c r="R12" i="18"/>
  <c r="F24" i="18" s="1"/>
  <c r="C36" i="18" s="1"/>
  <c r="R13" i="18"/>
  <c r="F25" i="18" s="1"/>
  <c r="C37" i="18" s="1"/>
  <c r="T9" i="17"/>
  <c r="T11" i="17"/>
  <c r="F17" i="17" s="1"/>
  <c r="C31" i="17" s="1"/>
  <c r="T12" i="17"/>
  <c r="F18" i="17" s="1"/>
  <c r="C32" i="17" s="1"/>
  <c r="T13" i="17"/>
  <c r="F21" i="17" s="1"/>
  <c r="C33" i="17" s="1"/>
  <c r="T10" i="17"/>
  <c r="F16" i="17" s="1"/>
  <c r="C30" i="17" s="1"/>
  <c r="T8" i="17"/>
  <c r="F8" i="17" s="1"/>
  <c r="T11" i="16"/>
  <c r="T8" i="16"/>
  <c r="F8" i="16" s="1"/>
  <c r="C30" i="16" s="1"/>
  <c r="T9" i="16"/>
  <c r="T10" i="16"/>
  <c r="T13" i="16"/>
  <c r="F21" i="16" s="1"/>
  <c r="C35" i="16" s="1"/>
  <c r="T14" i="16"/>
  <c r="F22" i="16" s="1"/>
  <c r="C36" i="16" s="1"/>
  <c r="C38" i="18" l="1"/>
  <c r="C28" i="17"/>
  <c r="F15" i="17"/>
  <c r="C29" i="17" s="1"/>
  <c r="F11" i="16"/>
  <c r="C32" i="16" s="1"/>
  <c r="F17" i="16"/>
  <c r="C33" i="16" s="1"/>
  <c r="F10" i="16"/>
  <c r="C31" i="16" s="1"/>
  <c r="F22" i="17" l="1"/>
  <c r="F27" i="16"/>
  <c r="F26" i="18"/>
  <c r="C38" i="16" l="1"/>
  <c r="C34" i="17"/>
  <c r="J19" i="7"/>
  <c r="J45" i="7" s="1"/>
  <c r="P11" i="7" s="1"/>
  <c r="J17" i="7"/>
  <c r="J43" i="7" s="1"/>
  <c r="P10" i="7" s="1"/>
  <c r="J14" i="7"/>
  <c r="J40" i="7" s="1"/>
  <c r="P9" i="7" s="1"/>
  <c r="J12" i="7"/>
  <c r="J38" i="7" s="1"/>
  <c r="P8" i="7" s="1"/>
  <c r="J10" i="7"/>
  <c r="J36" i="7" s="1"/>
  <c r="P7" i="7" s="1"/>
  <c r="J8" i="7"/>
  <c r="J34" i="7" s="1"/>
  <c r="P6" i="7" s="1"/>
  <c r="T9" i="8" l="1"/>
  <c r="E13" i="8" s="1"/>
  <c r="C47" i="8" s="1"/>
  <c r="M47" i="7"/>
  <c r="T10" i="8"/>
  <c r="C54" i="8" l="1"/>
  <c r="AE13" i="7"/>
  <c r="F23" i="7" s="1"/>
  <c r="C37" i="7" s="1"/>
  <c r="E22" i="8"/>
  <c r="C48" i="8" s="1"/>
  <c r="AE9" i="7"/>
  <c r="F11" i="7" s="1"/>
  <c r="C33" i="7" s="1"/>
  <c r="AE10" i="7"/>
  <c r="F12" i="7" s="1"/>
  <c r="C34" i="7" s="1"/>
  <c r="AE11" i="7"/>
  <c r="F16" i="7" s="1"/>
  <c r="C35" i="7" s="1"/>
  <c r="AE12" i="7"/>
  <c r="F21" i="7" s="1"/>
  <c r="C36" i="7" s="1"/>
  <c r="Q104" i="15"/>
  <c r="R104" i="15"/>
  <c r="S104" i="15"/>
  <c r="T104" i="15"/>
  <c r="U104" i="15"/>
  <c r="V104" i="15"/>
  <c r="W104" i="15"/>
  <c r="X104" i="15"/>
  <c r="Y104" i="15"/>
  <c r="Z104" i="15"/>
  <c r="Q105" i="15"/>
  <c r="R105" i="15"/>
  <c r="S105" i="15"/>
  <c r="T105" i="15"/>
  <c r="U105" i="15"/>
  <c r="V105" i="15"/>
  <c r="W105" i="15"/>
  <c r="X105" i="15"/>
  <c r="Y105" i="15"/>
  <c r="Z105" i="15"/>
  <c r="Q106" i="15"/>
  <c r="R106" i="15"/>
  <c r="S106" i="15"/>
  <c r="T106" i="15"/>
  <c r="U106" i="15"/>
  <c r="V106" i="15"/>
  <c r="W106" i="15"/>
  <c r="X106" i="15"/>
  <c r="Y106" i="15"/>
  <c r="Z106" i="15"/>
  <c r="Q107" i="15"/>
  <c r="R107" i="15"/>
  <c r="S107" i="15"/>
  <c r="T107" i="15"/>
  <c r="U107" i="15"/>
  <c r="V107" i="15"/>
  <c r="W107" i="15"/>
  <c r="X107" i="15"/>
  <c r="Y107" i="15"/>
  <c r="Z107" i="15"/>
  <c r="Q108" i="15"/>
  <c r="R108" i="15"/>
  <c r="S108" i="15"/>
  <c r="T108" i="15"/>
  <c r="U108" i="15"/>
  <c r="V108" i="15"/>
  <c r="W108" i="15"/>
  <c r="X108" i="15"/>
  <c r="Y108" i="15"/>
  <c r="Z108" i="15"/>
  <c r="Q109" i="15"/>
  <c r="R109" i="15"/>
  <c r="S109" i="15"/>
  <c r="T109" i="15"/>
  <c r="U109" i="15"/>
  <c r="V109" i="15"/>
  <c r="W109" i="15"/>
  <c r="X109" i="15"/>
  <c r="Y109" i="15"/>
  <c r="Z109" i="15"/>
  <c r="Q110" i="15"/>
  <c r="R110" i="15"/>
  <c r="S110" i="15"/>
  <c r="T110" i="15"/>
  <c r="U110" i="15"/>
  <c r="V110" i="15"/>
  <c r="W110" i="15"/>
  <c r="X110" i="15"/>
  <c r="Y110" i="15"/>
  <c r="Z110" i="15"/>
  <c r="Q111" i="15"/>
  <c r="R111" i="15"/>
  <c r="S111" i="15"/>
  <c r="T111" i="15"/>
  <c r="U111" i="15"/>
  <c r="V111" i="15"/>
  <c r="W111" i="15"/>
  <c r="X111" i="15"/>
  <c r="Y111" i="15"/>
  <c r="Z111" i="15"/>
  <c r="Q112" i="15"/>
  <c r="R112" i="15"/>
  <c r="S112" i="15"/>
  <c r="T112" i="15"/>
  <c r="U112" i="15"/>
  <c r="V112" i="15"/>
  <c r="W112" i="15"/>
  <c r="X112" i="15"/>
  <c r="Y112" i="15"/>
  <c r="Z112" i="15"/>
  <c r="Q113" i="15"/>
  <c r="R113" i="15"/>
  <c r="S113" i="15"/>
  <c r="T113" i="15"/>
  <c r="U113" i="15"/>
  <c r="V113" i="15"/>
  <c r="W113" i="15"/>
  <c r="X113" i="15"/>
  <c r="Y113" i="15"/>
  <c r="Z113" i="15"/>
  <c r="Q114" i="15"/>
  <c r="R114" i="15"/>
  <c r="S114" i="15"/>
  <c r="T114" i="15"/>
  <c r="U114" i="15"/>
  <c r="V114" i="15"/>
  <c r="W114" i="15"/>
  <c r="X114" i="15"/>
  <c r="Y114" i="15"/>
  <c r="Z114" i="15"/>
  <c r="Q115" i="15"/>
  <c r="R115" i="15"/>
  <c r="S115" i="15"/>
  <c r="T115" i="15"/>
  <c r="U115" i="15"/>
  <c r="V115" i="15"/>
  <c r="W115" i="15"/>
  <c r="X115" i="15"/>
  <c r="Y115" i="15"/>
  <c r="Z115" i="15"/>
  <c r="Q116" i="15"/>
  <c r="R116" i="15"/>
  <c r="S116" i="15"/>
  <c r="T116" i="15"/>
  <c r="U116" i="15"/>
  <c r="V116" i="15"/>
  <c r="W116" i="15"/>
  <c r="X116" i="15"/>
  <c r="Y116" i="15"/>
  <c r="Z116" i="15"/>
  <c r="Q117" i="15"/>
  <c r="R117" i="15"/>
  <c r="S117" i="15"/>
  <c r="T117" i="15"/>
  <c r="U117" i="15"/>
  <c r="V117" i="15"/>
  <c r="W117" i="15"/>
  <c r="X117" i="15"/>
  <c r="Y117" i="15"/>
  <c r="Z117" i="15"/>
  <c r="Q118" i="15"/>
  <c r="R118" i="15"/>
  <c r="S118" i="15"/>
  <c r="T118" i="15"/>
  <c r="U118" i="15"/>
  <c r="V118" i="15"/>
  <c r="W118" i="15"/>
  <c r="X118" i="15"/>
  <c r="Y118" i="15"/>
  <c r="Z118" i="15"/>
  <c r="Q119" i="15"/>
  <c r="R119" i="15"/>
  <c r="S119" i="15"/>
  <c r="T119" i="15"/>
  <c r="U119" i="15"/>
  <c r="V119" i="15"/>
  <c r="W119" i="15"/>
  <c r="X119" i="15"/>
  <c r="Y119" i="15"/>
  <c r="Z119" i="15"/>
  <c r="Q120" i="15"/>
  <c r="R120" i="15"/>
  <c r="S120" i="15"/>
  <c r="T120" i="15"/>
  <c r="U120" i="15"/>
  <c r="V120" i="15"/>
  <c r="W120" i="15"/>
  <c r="X120" i="15"/>
  <c r="Y120" i="15"/>
  <c r="Z120" i="15"/>
  <c r="Q121" i="15"/>
  <c r="R121" i="15"/>
  <c r="S121" i="15"/>
  <c r="T121" i="15"/>
  <c r="U121" i="15"/>
  <c r="V121" i="15"/>
  <c r="W121" i="15"/>
  <c r="X121" i="15"/>
  <c r="Y121" i="15"/>
  <c r="Z121" i="15"/>
  <c r="Q122" i="15"/>
  <c r="R122" i="15"/>
  <c r="S122" i="15"/>
  <c r="T122" i="15"/>
  <c r="U122" i="15"/>
  <c r="V122" i="15"/>
  <c r="W122" i="15"/>
  <c r="X122" i="15"/>
  <c r="Y122" i="15"/>
  <c r="Z122" i="15"/>
  <c r="Q123" i="15"/>
  <c r="R123" i="15"/>
  <c r="S123" i="15"/>
  <c r="T123" i="15"/>
  <c r="U123" i="15"/>
  <c r="V123" i="15"/>
  <c r="W123" i="15"/>
  <c r="X123" i="15"/>
  <c r="Y123" i="15"/>
  <c r="Z123" i="15"/>
  <c r="Q124" i="15"/>
  <c r="R124" i="15"/>
  <c r="S124" i="15"/>
  <c r="T124" i="15"/>
  <c r="U124" i="15"/>
  <c r="V124" i="15"/>
  <c r="W124" i="15"/>
  <c r="X124" i="15"/>
  <c r="Y124" i="15"/>
  <c r="Z124" i="15"/>
  <c r="Q125" i="15"/>
  <c r="R125" i="15"/>
  <c r="S125" i="15"/>
  <c r="T125" i="15"/>
  <c r="U125" i="15"/>
  <c r="V125" i="15"/>
  <c r="W125" i="15"/>
  <c r="X125" i="15"/>
  <c r="Y125" i="15"/>
  <c r="Z125" i="15"/>
  <c r="Q126" i="15"/>
  <c r="R126" i="15"/>
  <c r="S126" i="15"/>
  <c r="T126" i="15"/>
  <c r="U126" i="15"/>
  <c r="V126" i="15"/>
  <c r="W126" i="15"/>
  <c r="X126" i="15"/>
  <c r="Y126" i="15"/>
  <c r="Z126" i="15"/>
  <c r="Q127" i="15"/>
  <c r="R127" i="15"/>
  <c r="S127" i="15"/>
  <c r="T127" i="15"/>
  <c r="U127" i="15"/>
  <c r="V127" i="15"/>
  <c r="W127" i="15"/>
  <c r="X127" i="15"/>
  <c r="Y127" i="15"/>
  <c r="Z127" i="15"/>
  <c r="Q128" i="15"/>
  <c r="R128" i="15"/>
  <c r="S128" i="15"/>
  <c r="T128" i="15"/>
  <c r="U128" i="15"/>
  <c r="V128" i="15"/>
  <c r="W128" i="15"/>
  <c r="X128" i="15"/>
  <c r="Y128" i="15"/>
  <c r="Z128" i="15"/>
  <c r="Q129" i="15"/>
  <c r="R129" i="15"/>
  <c r="S129" i="15"/>
  <c r="T129" i="15"/>
  <c r="U129" i="15"/>
  <c r="V129" i="15"/>
  <c r="W129" i="15"/>
  <c r="X129" i="15"/>
  <c r="Y129" i="15"/>
  <c r="Z129" i="15"/>
  <c r="Q130" i="15"/>
  <c r="R130" i="15"/>
  <c r="S130" i="15"/>
  <c r="T130" i="15"/>
  <c r="U130" i="15"/>
  <c r="V130" i="15"/>
  <c r="W130" i="15"/>
  <c r="X130" i="15"/>
  <c r="Y130" i="15"/>
  <c r="Z130" i="15"/>
  <c r="Q131" i="15"/>
  <c r="R131" i="15"/>
  <c r="S131" i="15"/>
  <c r="T131" i="15"/>
  <c r="U131" i="15"/>
  <c r="V131" i="15"/>
  <c r="W131" i="15"/>
  <c r="X131" i="15"/>
  <c r="Y131" i="15"/>
  <c r="Z131" i="15"/>
  <c r="Q132" i="15"/>
  <c r="R132" i="15"/>
  <c r="S132" i="15"/>
  <c r="T132" i="15"/>
  <c r="U132" i="15"/>
  <c r="V132" i="15"/>
  <c r="W132" i="15"/>
  <c r="X132" i="15"/>
  <c r="Y132" i="15"/>
  <c r="Z132" i="15"/>
  <c r="Z103" i="15"/>
  <c r="Y103" i="15"/>
  <c r="X103" i="15"/>
  <c r="W103" i="15"/>
  <c r="V103" i="15"/>
  <c r="U103" i="15"/>
  <c r="T103" i="15"/>
  <c r="S103" i="15"/>
  <c r="R103" i="15"/>
  <c r="Q103" i="15"/>
  <c r="R74" i="15"/>
  <c r="Q75" i="15"/>
  <c r="R75" i="15"/>
  <c r="S75" i="15"/>
  <c r="T75" i="15"/>
  <c r="U75" i="15"/>
  <c r="V75" i="15"/>
  <c r="W75" i="15"/>
  <c r="X75" i="15"/>
  <c r="Y75" i="15"/>
  <c r="Z75" i="15"/>
  <c r="Q76" i="15"/>
  <c r="R76" i="15"/>
  <c r="S76" i="15"/>
  <c r="T76" i="15"/>
  <c r="U76" i="15"/>
  <c r="V76" i="15"/>
  <c r="W76" i="15"/>
  <c r="X76" i="15"/>
  <c r="Y76" i="15"/>
  <c r="Z76" i="15"/>
  <c r="Q77" i="15"/>
  <c r="R77" i="15"/>
  <c r="S77" i="15"/>
  <c r="T77" i="15"/>
  <c r="U77" i="15"/>
  <c r="V77" i="15"/>
  <c r="W77" i="15"/>
  <c r="X77" i="15"/>
  <c r="Y77" i="15"/>
  <c r="Z77" i="15"/>
  <c r="Q78" i="15"/>
  <c r="R78" i="15"/>
  <c r="S78" i="15"/>
  <c r="T78" i="15"/>
  <c r="U78" i="15"/>
  <c r="V78" i="15"/>
  <c r="W78" i="15"/>
  <c r="X78" i="15"/>
  <c r="Y78" i="15"/>
  <c r="Z78" i="15"/>
  <c r="Q79" i="15"/>
  <c r="R79" i="15"/>
  <c r="S79" i="15"/>
  <c r="T79" i="15"/>
  <c r="U79" i="15"/>
  <c r="V79" i="15"/>
  <c r="W79" i="15"/>
  <c r="X79" i="15"/>
  <c r="Y79" i="15"/>
  <c r="Z79" i="15"/>
  <c r="Q80" i="15"/>
  <c r="R80" i="15"/>
  <c r="S80" i="15"/>
  <c r="T80" i="15"/>
  <c r="U80" i="15"/>
  <c r="V80" i="15"/>
  <c r="W80" i="15"/>
  <c r="X80" i="15"/>
  <c r="Y80" i="15"/>
  <c r="Z80" i="15"/>
  <c r="Q81" i="15"/>
  <c r="R81" i="15"/>
  <c r="S81" i="15"/>
  <c r="T81" i="15"/>
  <c r="U81" i="15"/>
  <c r="V81" i="15"/>
  <c r="W81" i="15"/>
  <c r="X81" i="15"/>
  <c r="Y81" i="15"/>
  <c r="Z81" i="15"/>
  <c r="Q82" i="15"/>
  <c r="R82" i="15"/>
  <c r="S82" i="15"/>
  <c r="T82" i="15"/>
  <c r="U82" i="15"/>
  <c r="V82" i="15"/>
  <c r="W82" i="15"/>
  <c r="X82" i="15"/>
  <c r="Y82" i="15"/>
  <c r="Z82" i="15"/>
  <c r="Q83" i="15"/>
  <c r="R83" i="15"/>
  <c r="S83" i="15"/>
  <c r="T83" i="15"/>
  <c r="U83" i="15"/>
  <c r="V83" i="15"/>
  <c r="W83" i="15"/>
  <c r="X83" i="15"/>
  <c r="Y83" i="15"/>
  <c r="Z83" i="15"/>
  <c r="Q84" i="15"/>
  <c r="R84" i="15"/>
  <c r="S84" i="15"/>
  <c r="T84" i="15"/>
  <c r="U84" i="15"/>
  <c r="V84" i="15"/>
  <c r="W84" i="15"/>
  <c r="X84" i="15"/>
  <c r="Y84" i="15"/>
  <c r="Z84" i="15"/>
  <c r="Q85" i="15"/>
  <c r="R85" i="15"/>
  <c r="S85" i="15"/>
  <c r="T85" i="15"/>
  <c r="U85" i="15"/>
  <c r="V85" i="15"/>
  <c r="W85" i="15"/>
  <c r="X85" i="15"/>
  <c r="Y85" i="15"/>
  <c r="Z85" i="15"/>
  <c r="Q86" i="15"/>
  <c r="R86" i="15"/>
  <c r="S86" i="15"/>
  <c r="T86" i="15"/>
  <c r="U86" i="15"/>
  <c r="V86" i="15"/>
  <c r="W86" i="15"/>
  <c r="X86" i="15"/>
  <c r="Y86" i="15"/>
  <c r="Z86" i="15"/>
  <c r="Q87" i="15"/>
  <c r="R87" i="15"/>
  <c r="S87" i="15"/>
  <c r="T87" i="15"/>
  <c r="U87" i="15"/>
  <c r="V87" i="15"/>
  <c r="W87" i="15"/>
  <c r="X87" i="15"/>
  <c r="Y87" i="15"/>
  <c r="Z87" i="15"/>
  <c r="Q88" i="15"/>
  <c r="R88" i="15"/>
  <c r="S88" i="15"/>
  <c r="T88" i="15"/>
  <c r="U88" i="15"/>
  <c r="V88" i="15"/>
  <c r="W88" i="15"/>
  <c r="X88" i="15"/>
  <c r="Y88" i="15"/>
  <c r="Z88" i="15"/>
  <c r="Q89" i="15"/>
  <c r="R89" i="15"/>
  <c r="S89" i="15"/>
  <c r="T89" i="15"/>
  <c r="U89" i="15"/>
  <c r="V89" i="15"/>
  <c r="W89" i="15"/>
  <c r="X89" i="15"/>
  <c r="Y89" i="15"/>
  <c r="Z89" i="15"/>
  <c r="Q90" i="15"/>
  <c r="R90" i="15"/>
  <c r="S90" i="15"/>
  <c r="T90" i="15"/>
  <c r="U90" i="15"/>
  <c r="V90" i="15"/>
  <c r="W90" i="15"/>
  <c r="X90" i="15"/>
  <c r="Y90" i="15"/>
  <c r="Z90" i="15"/>
  <c r="Q91" i="15"/>
  <c r="R91" i="15"/>
  <c r="S91" i="15"/>
  <c r="T91" i="15"/>
  <c r="U91" i="15"/>
  <c r="V91" i="15"/>
  <c r="W91" i="15"/>
  <c r="X91" i="15"/>
  <c r="Y91" i="15"/>
  <c r="Z91" i="15"/>
  <c r="Q92" i="15"/>
  <c r="R92" i="15"/>
  <c r="S92" i="15"/>
  <c r="T92" i="15"/>
  <c r="U92" i="15"/>
  <c r="V92" i="15"/>
  <c r="W92" i="15"/>
  <c r="X92" i="15"/>
  <c r="Y92" i="15"/>
  <c r="Z92" i="15"/>
  <c r="Q93" i="15"/>
  <c r="R93" i="15"/>
  <c r="S93" i="15"/>
  <c r="T93" i="15"/>
  <c r="U93" i="15"/>
  <c r="V93" i="15"/>
  <c r="W93" i="15"/>
  <c r="X93" i="15"/>
  <c r="Y93" i="15"/>
  <c r="Z93" i="15"/>
  <c r="Q94" i="15"/>
  <c r="R94" i="15"/>
  <c r="S94" i="15"/>
  <c r="T94" i="15"/>
  <c r="U94" i="15"/>
  <c r="V94" i="15"/>
  <c r="W94" i="15"/>
  <c r="X94" i="15"/>
  <c r="Y94" i="15"/>
  <c r="Z94" i="15"/>
  <c r="Q95" i="15"/>
  <c r="R95" i="15"/>
  <c r="S95" i="15"/>
  <c r="T95" i="15"/>
  <c r="U95" i="15"/>
  <c r="V95" i="15"/>
  <c r="W95" i="15"/>
  <c r="X95" i="15"/>
  <c r="Y95" i="15"/>
  <c r="Z95" i="15"/>
  <c r="Q96" i="15"/>
  <c r="R96" i="15"/>
  <c r="S96" i="15"/>
  <c r="T96" i="15"/>
  <c r="U96" i="15"/>
  <c r="V96" i="15"/>
  <c r="W96" i="15"/>
  <c r="X96" i="15"/>
  <c r="Y96" i="15"/>
  <c r="Z96" i="15"/>
  <c r="Q97" i="15"/>
  <c r="R97" i="15"/>
  <c r="S97" i="15"/>
  <c r="T97" i="15"/>
  <c r="U97" i="15"/>
  <c r="V97" i="15"/>
  <c r="W97" i="15"/>
  <c r="X97" i="15"/>
  <c r="Y97" i="15"/>
  <c r="Z97" i="15"/>
  <c r="Z74" i="15"/>
  <c r="Y74" i="15"/>
  <c r="X74" i="15"/>
  <c r="W74" i="15"/>
  <c r="V74" i="15"/>
  <c r="U74" i="15"/>
  <c r="T74" i="15"/>
  <c r="S74" i="15"/>
  <c r="Q74" i="15"/>
  <c r="Q48" i="15"/>
  <c r="R48" i="15"/>
  <c r="S48" i="15"/>
  <c r="T48" i="15"/>
  <c r="U48" i="15"/>
  <c r="V48" i="15"/>
  <c r="W48" i="15"/>
  <c r="X48" i="15"/>
  <c r="Y48" i="15"/>
  <c r="Z48" i="15"/>
  <c r="Q49" i="15"/>
  <c r="R49" i="15"/>
  <c r="S49" i="15"/>
  <c r="T49" i="15"/>
  <c r="U49" i="15"/>
  <c r="V49" i="15"/>
  <c r="W49" i="15"/>
  <c r="X49" i="15"/>
  <c r="Y49" i="15"/>
  <c r="Z49" i="15"/>
  <c r="Q50" i="15"/>
  <c r="R50" i="15"/>
  <c r="S50" i="15"/>
  <c r="T50" i="15"/>
  <c r="U50" i="15"/>
  <c r="V50" i="15"/>
  <c r="W50" i="15"/>
  <c r="X50" i="15"/>
  <c r="Y50" i="15"/>
  <c r="Z50" i="15"/>
  <c r="Q51" i="15"/>
  <c r="R51" i="15"/>
  <c r="S51" i="15"/>
  <c r="T51" i="15"/>
  <c r="U51" i="15"/>
  <c r="V51" i="15"/>
  <c r="W51" i="15"/>
  <c r="X51" i="15"/>
  <c r="Y51" i="15"/>
  <c r="Z51" i="15"/>
  <c r="Q52" i="15"/>
  <c r="R52" i="15"/>
  <c r="S52" i="15"/>
  <c r="T52" i="15"/>
  <c r="U52" i="15"/>
  <c r="V52" i="15"/>
  <c r="W52" i="15"/>
  <c r="X52" i="15"/>
  <c r="Y52" i="15"/>
  <c r="Z52" i="15"/>
  <c r="Q53" i="15"/>
  <c r="R53" i="15"/>
  <c r="S53" i="15"/>
  <c r="T53" i="15"/>
  <c r="U53" i="15"/>
  <c r="V53" i="15"/>
  <c r="W53" i="15"/>
  <c r="X53" i="15"/>
  <c r="Y53" i="15"/>
  <c r="Z53" i="15"/>
  <c r="Q54" i="15"/>
  <c r="R54" i="15"/>
  <c r="S54" i="15"/>
  <c r="T54" i="15"/>
  <c r="U54" i="15"/>
  <c r="V54" i="15"/>
  <c r="W54" i="15"/>
  <c r="X54" i="15"/>
  <c r="Y54" i="15"/>
  <c r="Z54" i="15"/>
  <c r="Q55" i="15"/>
  <c r="R55" i="15"/>
  <c r="S55" i="15"/>
  <c r="T55" i="15"/>
  <c r="U55" i="15"/>
  <c r="V55" i="15"/>
  <c r="W55" i="15"/>
  <c r="X55" i="15"/>
  <c r="Y55" i="15"/>
  <c r="Z55" i="15"/>
  <c r="Q56" i="15"/>
  <c r="R56" i="15"/>
  <c r="S56" i="15"/>
  <c r="T56" i="15"/>
  <c r="U56" i="15"/>
  <c r="V56" i="15"/>
  <c r="W56" i="15"/>
  <c r="X56" i="15"/>
  <c r="Y56" i="15"/>
  <c r="Z56" i="15"/>
  <c r="Q57" i="15"/>
  <c r="R57" i="15"/>
  <c r="S57" i="15"/>
  <c r="T57" i="15"/>
  <c r="U57" i="15"/>
  <c r="V57" i="15"/>
  <c r="W57" i="15"/>
  <c r="X57" i="15"/>
  <c r="Y57" i="15"/>
  <c r="Z57" i="15"/>
  <c r="Q58" i="15"/>
  <c r="R58" i="15"/>
  <c r="S58" i="15"/>
  <c r="T58" i="15"/>
  <c r="U58" i="15"/>
  <c r="V58" i="15"/>
  <c r="W58" i="15"/>
  <c r="X58" i="15"/>
  <c r="Y58" i="15"/>
  <c r="Z58" i="15"/>
  <c r="Q59" i="15"/>
  <c r="R59" i="15"/>
  <c r="S59" i="15"/>
  <c r="T59" i="15"/>
  <c r="U59" i="15"/>
  <c r="V59" i="15"/>
  <c r="W59" i="15"/>
  <c r="X59" i="15"/>
  <c r="Y59" i="15"/>
  <c r="Z59" i="15"/>
  <c r="Q60" i="15"/>
  <c r="R60" i="15"/>
  <c r="S60" i="15"/>
  <c r="T60" i="15"/>
  <c r="U60" i="15"/>
  <c r="V60" i="15"/>
  <c r="W60" i="15"/>
  <c r="X60" i="15"/>
  <c r="Y60" i="15"/>
  <c r="Z60" i="15"/>
  <c r="Q61" i="15"/>
  <c r="R61" i="15"/>
  <c r="S61" i="15"/>
  <c r="T61" i="15"/>
  <c r="U61" i="15"/>
  <c r="V61" i="15"/>
  <c r="W61" i="15"/>
  <c r="X61" i="15"/>
  <c r="Y61" i="15"/>
  <c r="Z61" i="15"/>
  <c r="Q62" i="15"/>
  <c r="R62" i="15"/>
  <c r="S62" i="15"/>
  <c r="T62" i="15"/>
  <c r="U62" i="15"/>
  <c r="V62" i="15"/>
  <c r="W62" i="15"/>
  <c r="X62" i="15"/>
  <c r="Y62" i="15"/>
  <c r="Z62" i="15"/>
  <c r="Q63" i="15"/>
  <c r="R63" i="15"/>
  <c r="S63" i="15"/>
  <c r="T63" i="15"/>
  <c r="U63" i="15"/>
  <c r="V63" i="15"/>
  <c r="W63" i="15"/>
  <c r="X63" i="15"/>
  <c r="Y63" i="15"/>
  <c r="Z63" i="15"/>
  <c r="Q64" i="15"/>
  <c r="R64" i="15"/>
  <c r="S64" i="15"/>
  <c r="T64" i="15"/>
  <c r="U64" i="15"/>
  <c r="V64" i="15"/>
  <c r="W64" i="15"/>
  <c r="X64" i="15"/>
  <c r="Y64" i="15"/>
  <c r="Z64" i="15"/>
  <c r="Q65" i="15"/>
  <c r="R65" i="15"/>
  <c r="S65" i="15"/>
  <c r="T65" i="15"/>
  <c r="U65" i="15"/>
  <c r="V65" i="15"/>
  <c r="W65" i="15"/>
  <c r="X65" i="15"/>
  <c r="Y65" i="15"/>
  <c r="Z65" i="15"/>
  <c r="Q66" i="15"/>
  <c r="R66" i="15"/>
  <c r="S66" i="15"/>
  <c r="T66" i="15"/>
  <c r="U66" i="15"/>
  <c r="V66" i="15"/>
  <c r="W66" i="15"/>
  <c r="X66" i="15"/>
  <c r="Y66" i="15"/>
  <c r="Z66" i="15"/>
  <c r="Q67" i="15"/>
  <c r="R67" i="15"/>
  <c r="S67" i="15"/>
  <c r="T67" i="15"/>
  <c r="U67" i="15"/>
  <c r="V67" i="15"/>
  <c r="W67" i="15"/>
  <c r="X67" i="15"/>
  <c r="Y67" i="15"/>
  <c r="Z67" i="15"/>
  <c r="Q68" i="15"/>
  <c r="R68" i="15"/>
  <c r="S68" i="15"/>
  <c r="T68" i="15"/>
  <c r="U68" i="15"/>
  <c r="V68" i="15"/>
  <c r="W68" i="15"/>
  <c r="X68" i="15"/>
  <c r="Y68" i="15"/>
  <c r="Z68" i="15"/>
  <c r="Q69" i="15"/>
  <c r="R69" i="15"/>
  <c r="S69" i="15"/>
  <c r="T69" i="15"/>
  <c r="U69" i="15"/>
  <c r="V69" i="15"/>
  <c r="W69" i="15"/>
  <c r="X69" i="15"/>
  <c r="Y69" i="15"/>
  <c r="Z69" i="15"/>
  <c r="Q70" i="15"/>
  <c r="R70" i="15"/>
  <c r="S70" i="15"/>
  <c r="T70" i="15"/>
  <c r="U70" i="15"/>
  <c r="V70" i="15"/>
  <c r="W70" i="15"/>
  <c r="X70" i="15"/>
  <c r="Y70" i="15"/>
  <c r="Z70" i="15"/>
  <c r="Z47" i="15"/>
  <c r="Y47" i="15"/>
  <c r="X47" i="15"/>
  <c r="W47" i="15"/>
  <c r="V47" i="15"/>
  <c r="U47" i="15"/>
  <c r="T47" i="15"/>
  <c r="S47" i="15"/>
  <c r="R47" i="15"/>
  <c r="Q47" i="15"/>
  <c r="Q20" i="15"/>
  <c r="R20" i="15"/>
  <c r="S20" i="15"/>
  <c r="T20" i="15"/>
  <c r="U20" i="15"/>
  <c r="V20" i="15"/>
  <c r="W20" i="15"/>
  <c r="X20" i="15"/>
  <c r="Y20" i="15"/>
  <c r="Z20" i="15"/>
  <c r="Q21" i="15"/>
  <c r="R21" i="15"/>
  <c r="S21" i="15"/>
  <c r="T21" i="15"/>
  <c r="U21" i="15"/>
  <c r="V21" i="15"/>
  <c r="W21" i="15"/>
  <c r="X21" i="15"/>
  <c r="Y21" i="15"/>
  <c r="Z21" i="15"/>
  <c r="Q22" i="15"/>
  <c r="R22" i="15"/>
  <c r="S22" i="15"/>
  <c r="T22" i="15"/>
  <c r="U22" i="15"/>
  <c r="V22" i="15"/>
  <c r="W22" i="15"/>
  <c r="X22" i="15"/>
  <c r="Y22" i="15"/>
  <c r="Z22" i="15"/>
  <c r="Q23" i="15"/>
  <c r="R23" i="15"/>
  <c r="S23" i="15"/>
  <c r="T23" i="15"/>
  <c r="U23" i="15"/>
  <c r="V23" i="15"/>
  <c r="W23" i="15"/>
  <c r="X23" i="15"/>
  <c r="Y23" i="15"/>
  <c r="Z23" i="15"/>
  <c r="Q24" i="15"/>
  <c r="R24" i="15"/>
  <c r="S24" i="15"/>
  <c r="T24" i="15"/>
  <c r="U24" i="15"/>
  <c r="V24" i="15"/>
  <c r="W24" i="15"/>
  <c r="X24" i="15"/>
  <c r="Y24" i="15"/>
  <c r="Z24" i="15"/>
  <c r="Q25" i="15"/>
  <c r="R25" i="15"/>
  <c r="S25" i="15"/>
  <c r="T25" i="15"/>
  <c r="U25" i="15"/>
  <c r="V25" i="15"/>
  <c r="W25" i="15"/>
  <c r="X25" i="15"/>
  <c r="Y25" i="15"/>
  <c r="Z25" i="15"/>
  <c r="Q26" i="15"/>
  <c r="R26" i="15"/>
  <c r="S26" i="15"/>
  <c r="T26" i="15"/>
  <c r="U26" i="15"/>
  <c r="V26" i="15"/>
  <c r="W26" i="15"/>
  <c r="X26" i="15"/>
  <c r="Y26" i="15"/>
  <c r="Z26" i="15"/>
  <c r="Q27" i="15"/>
  <c r="R27" i="15"/>
  <c r="S27" i="15"/>
  <c r="T27" i="15"/>
  <c r="U27" i="15"/>
  <c r="V27" i="15"/>
  <c r="W27" i="15"/>
  <c r="X27" i="15"/>
  <c r="Y27" i="15"/>
  <c r="Z27" i="15"/>
  <c r="Q28" i="15"/>
  <c r="R28" i="15"/>
  <c r="S28" i="15"/>
  <c r="T28" i="15"/>
  <c r="U28" i="15"/>
  <c r="V28" i="15"/>
  <c r="W28" i="15"/>
  <c r="X28" i="15"/>
  <c r="Y28" i="15"/>
  <c r="Z28" i="15"/>
  <c r="Q29" i="15"/>
  <c r="R29" i="15"/>
  <c r="S29" i="15"/>
  <c r="T29" i="15"/>
  <c r="U29" i="15"/>
  <c r="V29" i="15"/>
  <c r="W29" i="15"/>
  <c r="X29" i="15"/>
  <c r="Y29" i="15"/>
  <c r="Z29" i="15"/>
  <c r="Q30" i="15"/>
  <c r="R30" i="15"/>
  <c r="S30" i="15"/>
  <c r="T30" i="15"/>
  <c r="U30" i="15"/>
  <c r="V30" i="15"/>
  <c r="W30" i="15"/>
  <c r="X30" i="15"/>
  <c r="Y30" i="15"/>
  <c r="Z30" i="15"/>
  <c r="Q31" i="15"/>
  <c r="R31" i="15"/>
  <c r="S31" i="15"/>
  <c r="T31" i="15"/>
  <c r="U31" i="15"/>
  <c r="V31" i="15"/>
  <c r="W31" i="15"/>
  <c r="X31" i="15"/>
  <c r="Y31" i="15"/>
  <c r="Z31" i="15"/>
  <c r="Q32" i="15"/>
  <c r="R32" i="15"/>
  <c r="S32" i="15"/>
  <c r="T32" i="15"/>
  <c r="U32" i="15"/>
  <c r="V32" i="15"/>
  <c r="W32" i="15"/>
  <c r="X32" i="15"/>
  <c r="Y32" i="15"/>
  <c r="Z32" i="15"/>
  <c r="Q33" i="15"/>
  <c r="R33" i="15"/>
  <c r="S33" i="15"/>
  <c r="T33" i="15"/>
  <c r="U33" i="15"/>
  <c r="V33" i="15"/>
  <c r="W33" i="15"/>
  <c r="X33" i="15"/>
  <c r="Y33" i="15"/>
  <c r="Z33" i="15"/>
  <c r="Q34" i="15"/>
  <c r="R34" i="15"/>
  <c r="S34" i="15"/>
  <c r="T34" i="15"/>
  <c r="U34" i="15"/>
  <c r="V34" i="15"/>
  <c r="W34" i="15"/>
  <c r="X34" i="15"/>
  <c r="Y34" i="15"/>
  <c r="Z34" i="15"/>
  <c r="Q35" i="15"/>
  <c r="R35" i="15"/>
  <c r="S35" i="15"/>
  <c r="T35" i="15"/>
  <c r="U35" i="15"/>
  <c r="V35" i="15"/>
  <c r="W35" i="15"/>
  <c r="X35" i="15"/>
  <c r="Y35" i="15"/>
  <c r="Z35" i="15"/>
  <c r="Q36" i="15"/>
  <c r="R36" i="15"/>
  <c r="S36" i="15"/>
  <c r="T36" i="15"/>
  <c r="U36" i="15"/>
  <c r="V36" i="15"/>
  <c r="W36" i="15"/>
  <c r="X36" i="15"/>
  <c r="Y36" i="15"/>
  <c r="Z36" i="15"/>
  <c r="Q37" i="15"/>
  <c r="R37" i="15"/>
  <c r="S37" i="15"/>
  <c r="T37" i="15"/>
  <c r="U37" i="15"/>
  <c r="V37" i="15"/>
  <c r="W37" i="15"/>
  <c r="X37" i="15"/>
  <c r="Y37" i="15"/>
  <c r="Z37" i="15"/>
  <c r="Q38" i="15"/>
  <c r="R38" i="15"/>
  <c r="S38" i="15"/>
  <c r="T38" i="15"/>
  <c r="U38" i="15"/>
  <c r="V38" i="15"/>
  <c r="W38" i="15"/>
  <c r="X38" i="15"/>
  <c r="Y38" i="15"/>
  <c r="Z38" i="15"/>
  <c r="Q39" i="15"/>
  <c r="R39" i="15"/>
  <c r="S39" i="15"/>
  <c r="T39" i="15"/>
  <c r="U39" i="15"/>
  <c r="V39" i="15"/>
  <c r="W39" i="15"/>
  <c r="X39" i="15"/>
  <c r="Y39" i="15"/>
  <c r="Z39" i="15"/>
  <c r="Q40" i="15"/>
  <c r="R40" i="15"/>
  <c r="S40" i="15"/>
  <c r="T40" i="15"/>
  <c r="U40" i="15"/>
  <c r="V40" i="15"/>
  <c r="W40" i="15"/>
  <c r="X40" i="15"/>
  <c r="Y40" i="15"/>
  <c r="Z40" i="15"/>
  <c r="Q41" i="15"/>
  <c r="R41" i="15"/>
  <c r="S41" i="15"/>
  <c r="T41" i="15"/>
  <c r="U41" i="15"/>
  <c r="V41" i="15"/>
  <c r="W41" i="15"/>
  <c r="X41" i="15"/>
  <c r="Y41" i="15"/>
  <c r="Z41" i="15"/>
  <c r="Q42" i="15"/>
  <c r="R42" i="15"/>
  <c r="S42" i="15"/>
  <c r="T42" i="15"/>
  <c r="U42" i="15"/>
  <c r="V42" i="15"/>
  <c r="W42" i="15"/>
  <c r="X42" i="15"/>
  <c r="Y42" i="15"/>
  <c r="Z42" i="15"/>
  <c r="Z19" i="15"/>
  <c r="Y19" i="15"/>
  <c r="X19" i="15"/>
  <c r="W19" i="15"/>
  <c r="V19" i="15"/>
  <c r="U19" i="15"/>
  <c r="T19" i="15"/>
  <c r="S19" i="15"/>
  <c r="R19" i="15"/>
  <c r="Q19" i="15"/>
  <c r="Q5" i="15"/>
  <c r="R5" i="15"/>
  <c r="S5" i="15"/>
  <c r="T5" i="15"/>
  <c r="U5" i="15"/>
  <c r="V5" i="15"/>
  <c r="W5" i="15"/>
  <c r="X5" i="15"/>
  <c r="Y5" i="15"/>
  <c r="Z5" i="15"/>
  <c r="Q6" i="15"/>
  <c r="R6" i="15"/>
  <c r="S6" i="15"/>
  <c r="T6" i="15"/>
  <c r="U6" i="15"/>
  <c r="V6" i="15"/>
  <c r="W6" i="15"/>
  <c r="X6" i="15"/>
  <c r="Y6" i="15"/>
  <c r="Z6" i="15"/>
  <c r="Q7" i="15"/>
  <c r="R7" i="15"/>
  <c r="S7" i="15"/>
  <c r="T7" i="15"/>
  <c r="U7" i="15"/>
  <c r="V7" i="15"/>
  <c r="W7" i="15"/>
  <c r="X7" i="15"/>
  <c r="Y7" i="15"/>
  <c r="Z7" i="15"/>
  <c r="Q8" i="15"/>
  <c r="R8" i="15"/>
  <c r="S8" i="15"/>
  <c r="T8" i="15"/>
  <c r="U8" i="15"/>
  <c r="V8" i="15"/>
  <c r="W8" i="15"/>
  <c r="X8" i="15"/>
  <c r="Y8" i="15"/>
  <c r="Z8" i="15"/>
  <c r="Q9" i="15"/>
  <c r="R9" i="15"/>
  <c r="S9" i="15"/>
  <c r="T9" i="15"/>
  <c r="U9" i="15"/>
  <c r="V9" i="15"/>
  <c r="W9" i="15"/>
  <c r="X9" i="15"/>
  <c r="Y9" i="15"/>
  <c r="Z9" i="15"/>
  <c r="Q10" i="15"/>
  <c r="R10" i="15"/>
  <c r="S10" i="15"/>
  <c r="T10" i="15"/>
  <c r="U10" i="15"/>
  <c r="V10" i="15"/>
  <c r="W10" i="15"/>
  <c r="X10" i="15"/>
  <c r="Y10" i="15"/>
  <c r="Z10" i="15"/>
  <c r="Q11" i="15"/>
  <c r="R11" i="15"/>
  <c r="S11" i="15"/>
  <c r="T11" i="15"/>
  <c r="U11" i="15"/>
  <c r="V11" i="15"/>
  <c r="W11" i="15"/>
  <c r="X11" i="15"/>
  <c r="Y11" i="15"/>
  <c r="Z11" i="15"/>
  <c r="Q12" i="15"/>
  <c r="R12" i="15"/>
  <c r="S12" i="15"/>
  <c r="T12" i="15"/>
  <c r="U12" i="15"/>
  <c r="V12" i="15"/>
  <c r="W12" i="15"/>
  <c r="X12" i="15"/>
  <c r="Y12" i="15"/>
  <c r="Z12" i="15"/>
  <c r="Q13" i="15"/>
  <c r="R13" i="15"/>
  <c r="S13" i="15"/>
  <c r="T13" i="15"/>
  <c r="U13" i="15"/>
  <c r="V13" i="15"/>
  <c r="W13" i="15"/>
  <c r="X13" i="15"/>
  <c r="Y13" i="15"/>
  <c r="Z13" i="15"/>
  <c r="Q14" i="15"/>
  <c r="R14" i="15"/>
  <c r="S14" i="15"/>
  <c r="T14" i="15"/>
  <c r="U14" i="15"/>
  <c r="V14" i="15"/>
  <c r="W14" i="15"/>
  <c r="X14" i="15"/>
  <c r="Y14" i="15"/>
  <c r="Z14" i="15"/>
  <c r="Q15" i="15"/>
  <c r="R15" i="15"/>
  <c r="S15" i="15"/>
  <c r="T15" i="15"/>
  <c r="U15" i="15"/>
  <c r="V15" i="15"/>
  <c r="W15" i="15"/>
  <c r="X15" i="15"/>
  <c r="Y15" i="15"/>
  <c r="Z15" i="15"/>
  <c r="Z4" i="15"/>
  <c r="Y4" i="15"/>
  <c r="X4" i="15"/>
  <c r="W4" i="15"/>
  <c r="V4" i="15"/>
  <c r="U4" i="15"/>
  <c r="T4" i="15"/>
  <c r="S4" i="15"/>
  <c r="R4" i="15"/>
  <c r="Q4" i="15"/>
  <c r="AA118" i="15" l="1"/>
  <c r="AA110" i="15"/>
  <c r="AA51" i="15"/>
  <c r="AA83" i="15"/>
  <c r="AA126" i="15"/>
  <c r="AA124" i="15"/>
  <c r="AA10" i="15"/>
  <c r="AA31" i="15"/>
  <c r="AA65" i="15"/>
  <c r="AA63" i="15"/>
  <c r="AA57" i="15"/>
  <c r="AA55" i="15"/>
  <c r="AA93" i="15"/>
  <c r="AA87" i="15"/>
  <c r="AA123" i="15"/>
  <c r="AA114" i="15"/>
  <c r="AA132" i="15"/>
  <c r="AA131" i="15"/>
  <c r="AA122" i="15"/>
  <c r="AA112" i="15"/>
  <c r="AA14" i="15"/>
  <c r="AA41" i="15"/>
  <c r="AA37" i="15"/>
  <c r="AA97" i="15"/>
  <c r="AA91" i="15"/>
  <c r="AA89" i="15"/>
  <c r="AA85" i="15"/>
  <c r="AA81" i="15"/>
  <c r="AA79" i="15"/>
  <c r="AA75" i="15"/>
  <c r="AA104" i="15"/>
  <c r="AA116" i="15"/>
  <c r="AA115" i="15"/>
  <c r="AA106" i="15"/>
  <c r="AA130" i="15"/>
  <c r="AA128" i="15"/>
  <c r="AA120" i="15"/>
  <c r="AA108" i="15"/>
  <c r="N17" i="7"/>
  <c r="N14" i="7"/>
  <c r="N19" i="7"/>
  <c r="AA77" i="15"/>
  <c r="AA107" i="15"/>
  <c r="AA129" i="15"/>
  <c r="AA121" i="15"/>
  <c r="AA113" i="15"/>
  <c r="AA105" i="15"/>
  <c r="AA6" i="15"/>
  <c r="AA35" i="15"/>
  <c r="AA33" i="15"/>
  <c r="AA27" i="15"/>
  <c r="AA23" i="15"/>
  <c r="AA21" i="15"/>
  <c r="AA67" i="15"/>
  <c r="AA59" i="15"/>
  <c r="AA95" i="15"/>
  <c r="AA13" i="15"/>
  <c r="AA11" i="15"/>
  <c r="AA9" i="15"/>
  <c r="AA7" i="15"/>
  <c r="AA5" i="15"/>
  <c r="AA42" i="15"/>
  <c r="AA40" i="15"/>
  <c r="AA38" i="15"/>
  <c r="AA36" i="15"/>
  <c r="AA34" i="15"/>
  <c r="AA32" i="15"/>
  <c r="AA30" i="15"/>
  <c r="AA28" i="15"/>
  <c r="AA26" i="15"/>
  <c r="AA24" i="15"/>
  <c r="AA22" i="15"/>
  <c r="AA20" i="15"/>
  <c r="AA70" i="15"/>
  <c r="AA68" i="15"/>
  <c r="AA66" i="15"/>
  <c r="AA64" i="15"/>
  <c r="AA62" i="15"/>
  <c r="AA60" i="15"/>
  <c r="AA58" i="15"/>
  <c r="AA56" i="15"/>
  <c r="AA54" i="15"/>
  <c r="AA52" i="15"/>
  <c r="AA50" i="15"/>
  <c r="AA48" i="15"/>
  <c r="AA127" i="15"/>
  <c r="AA119" i="15"/>
  <c r="AA111" i="15"/>
  <c r="AA12" i="15"/>
  <c r="AA8" i="15"/>
  <c r="AA39" i="15"/>
  <c r="AA29" i="15"/>
  <c r="AA25" i="15"/>
  <c r="AA69" i="15"/>
  <c r="AA61" i="15"/>
  <c r="AA53" i="15"/>
  <c r="AA49" i="15"/>
  <c r="AA15" i="15"/>
  <c r="AA4" i="15"/>
  <c r="AA19" i="15"/>
  <c r="AA47" i="15"/>
  <c r="AA74" i="15"/>
  <c r="AA96" i="15"/>
  <c r="AA94" i="15"/>
  <c r="AA92" i="15"/>
  <c r="AA90" i="15"/>
  <c r="AA88" i="15"/>
  <c r="AA86" i="15"/>
  <c r="AA84" i="15"/>
  <c r="AA82" i="15"/>
  <c r="AA80" i="15"/>
  <c r="AA78" i="15"/>
  <c r="AA76" i="15"/>
  <c r="AA103" i="15"/>
  <c r="AA125" i="15"/>
  <c r="AA117" i="15"/>
  <c r="AA109" i="15"/>
  <c r="N12" i="7"/>
  <c r="N10" i="7"/>
  <c r="J8" i="17"/>
  <c r="AC33" i="1"/>
  <c r="AA65" i="1"/>
  <c r="R122" i="1"/>
  <c r="R121" i="1"/>
  <c r="R120" i="1"/>
  <c r="R119" i="1"/>
  <c r="R118" i="1"/>
  <c r="R117" i="1"/>
  <c r="R116" i="1"/>
  <c r="R115" i="1"/>
  <c r="R112" i="1"/>
  <c r="J11" i="17"/>
  <c r="R111" i="1"/>
  <c r="R110" i="1"/>
  <c r="R105" i="1"/>
  <c r="R104" i="1"/>
  <c r="R103" i="1"/>
  <c r="R102" i="1"/>
  <c r="R106" i="1" l="1"/>
  <c r="R107" i="1"/>
  <c r="R108" i="1"/>
  <c r="J12" i="17"/>
  <c r="AC107" i="1"/>
  <c r="J13" i="17"/>
  <c r="J14" i="17"/>
  <c r="J10" i="17"/>
  <c r="AQ106" i="1" l="1"/>
  <c r="AS106" i="1"/>
  <c r="AO106" i="1"/>
  <c r="AV106" i="1" s="1"/>
  <c r="AW106" i="1" s="1"/>
  <c r="AQ103" i="1"/>
  <c r="AS103" i="1"/>
  <c r="AO103" i="1"/>
  <c r="AQ108" i="1"/>
  <c r="AS108" i="1"/>
  <c r="AO108" i="1"/>
  <c r="AV108" i="1" s="1"/>
  <c r="AW108" i="1" s="1"/>
  <c r="AQ104" i="1"/>
  <c r="AS104" i="1"/>
  <c r="AO104" i="1"/>
  <c r="AQ102" i="1"/>
  <c r="AS102" i="1"/>
  <c r="AO102" i="1"/>
  <c r="AV102" i="1" s="1"/>
  <c r="AW102" i="1" s="1"/>
  <c r="AQ105" i="1"/>
  <c r="AS105" i="1"/>
  <c r="AO105" i="1"/>
  <c r="AE107" i="1"/>
  <c r="AQ107" i="1"/>
  <c r="AO107" i="1"/>
  <c r="AV107" i="1" s="1"/>
  <c r="AW107" i="1" s="1"/>
  <c r="AS107" i="1"/>
  <c r="AA107" i="1"/>
  <c r="AE108" i="1"/>
  <c r="AC108" i="1"/>
  <c r="AA108" i="1"/>
  <c r="AE106" i="1"/>
  <c r="AC106" i="1"/>
  <c r="AA106" i="1"/>
  <c r="AE103" i="1"/>
  <c r="AC103" i="1"/>
  <c r="AA103" i="1"/>
  <c r="AC104" i="1"/>
  <c r="AA104" i="1"/>
  <c r="AE104" i="1"/>
  <c r="AE105" i="1"/>
  <c r="AC105" i="1"/>
  <c r="AA105" i="1"/>
  <c r="AE102" i="1"/>
  <c r="AC102" i="1"/>
  <c r="AA102" i="1"/>
  <c r="J9" i="17"/>
  <c r="O8" i="17" s="1"/>
  <c r="M8" i="17" l="1"/>
  <c r="N8" i="17"/>
  <c r="L8" i="17"/>
  <c r="AV105" i="1"/>
  <c r="AW105" i="1" s="1"/>
  <c r="AV104" i="1"/>
  <c r="AW104" i="1" s="1"/>
  <c r="AV103" i="1"/>
  <c r="AW103" i="1" s="1"/>
  <c r="D44" i="17"/>
  <c r="J44" i="17" s="1"/>
  <c r="D41" i="17"/>
  <c r="J41" i="17" s="1"/>
  <c r="D43" i="17"/>
  <c r="J43" i="17" s="1"/>
  <c r="D42" i="17"/>
  <c r="J42" i="17" s="1"/>
  <c r="D45" i="17"/>
  <c r="J45" i="17" s="1"/>
  <c r="D47" i="17"/>
  <c r="J47" i="17" s="1"/>
  <c r="P8" i="17"/>
  <c r="Q8" i="17" s="1"/>
  <c r="AG130" i="1"/>
  <c r="AF126" i="1"/>
  <c r="AF127" i="1"/>
  <c r="AF128" i="1"/>
  <c r="AF129" i="1"/>
  <c r="AF130" i="1"/>
  <c r="AF131" i="1"/>
  <c r="AF132" i="1"/>
  <c r="AF133" i="1"/>
  <c r="AF134" i="1"/>
  <c r="AF135" i="1"/>
  <c r="AF136" i="1"/>
  <c r="AF138" i="1"/>
  <c r="AF139" i="1"/>
  <c r="AF140" i="1"/>
  <c r="AF141" i="1"/>
  <c r="AF142" i="1"/>
  <c r="AF143" i="1"/>
  <c r="AF144" i="1"/>
  <c r="AF125" i="1"/>
  <c r="AE126" i="1"/>
  <c r="AE127" i="1"/>
  <c r="AE128" i="1"/>
  <c r="AE129" i="1"/>
  <c r="AE130" i="1"/>
  <c r="AE131" i="1"/>
  <c r="AE132" i="1"/>
  <c r="AE133" i="1"/>
  <c r="AE134" i="1"/>
  <c r="AE135" i="1"/>
  <c r="AE136" i="1"/>
  <c r="AE138" i="1"/>
  <c r="AE139" i="1"/>
  <c r="AE140" i="1"/>
  <c r="AE141" i="1"/>
  <c r="AE142" i="1"/>
  <c r="AE143" i="1"/>
  <c r="AE144" i="1"/>
  <c r="AC126" i="1"/>
  <c r="AC127" i="1"/>
  <c r="AC128" i="1"/>
  <c r="AC129" i="1"/>
  <c r="AC130" i="1"/>
  <c r="AC131" i="1"/>
  <c r="AC132" i="1"/>
  <c r="AC133" i="1"/>
  <c r="AC134" i="1"/>
  <c r="AC135" i="1"/>
  <c r="AC136" i="1"/>
  <c r="AC138" i="1"/>
  <c r="AC139" i="1"/>
  <c r="AC140" i="1"/>
  <c r="AC141" i="1"/>
  <c r="AC142" i="1"/>
  <c r="AC143" i="1"/>
  <c r="AC144" i="1"/>
  <c r="AA141" i="1"/>
  <c r="AA142" i="1"/>
  <c r="AE125" i="1"/>
  <c r="AC125" i="1"/>
  <c r="J15" i="17"/>
  <c r="Q71" i="1"/>
  <c r="Q72" i="1"/>
  <c r="Q73" i="1"/>
  <c r="Q74" i="1"/>
  <c r="Q75" i="1"/>
  <c r="Q76" i="1"/>
  <c r="Q77" i="1"/>
  <c r="Q78" i="1"/>
  <c r="Q79" i="1"/>
  <c r="Q80" i="1"/>
  <c r="Q81" i="1"/>
  <c r="Q82" i="1"/>
  <c r="Q88" i="1"/>
  <c r="Q89" i="1"/>
  <c r="Q91" i="1"/>
  <c r="Q92" i="1"/>
  <c r="Q93" i="1"/>
  <c r="Q94" i="1"/>
  <c r="Q95" i="1"/>
  <c r="Q96" i="1"/>
  <c r="Q97" i="1"/>
  <c r="Q98" i="1"/>
  <c r="Q99" i="1"/>
  <c r="Q100" i="1"/>
  <c r="Q70" i="1"/>
  <c r="O71" i="1"/>
  <c r="O72" i="1"/>
  <c r="O73" i="1"/>
  <c r="O74" i="1"/>
  <c r="O75" i="1"/>
  <c r="O76" i="1"/>
  <c r="O77" i="1"/>
  <c r="O78" i="1"/>
  <c r="O79" i="1"/>
  <c r="O80" i="1"/>
  <c r="O81" i="1"/>
  <c r="O82" i="1"/>
  <c r="O88" i="1"/>
  <c r="O89" i="1"/>
  <c r="O91" i="1"/>
  <c r="O92" i="1"/>
  <c r="O93" i="1"/>
  <c r="O94" i="1"/>
  <c r="O95" i="1"/>
  <c r="O96" i="1"/>
  <c r="O97" i="1"/>
  <c r="O98" i="1"/>
  <c r="O99" i="1"/>
  <c r="O100" i="1"/>
  <c r="O70" i="1"/>
  <c r="M71" i="1"/>
  <c r="M72" i="1"/>
  <c r="M73" i="1"/>
  <c r="M74" i="1"/>
  <c r="M75" i="1"/>
  <c r="M76" i="1"/>
  <c r="M77" i="1"/>
  <c r="M78" i="1"/>
  <c r="M79" i="1"/>
  <c r="M80" i="1"/>
  <c r="M81" i="1"/>
  <c r="M82" i="1"/>
  <c r="M88" i="1"/>
  <c r="M89" i="1"/>
  <c r="M91" i="1"/>
  <c r="M92" i="1"/>
  <c r="M93" i="1"/>
  <c r="T93" i="1" s="1"/>
  <c r="U93" i="1" s="1"/>
  <c r="M94" i="1"/>
  <c r="M95" i="1"/>
  <c r="T95" i="1" s="1"/>
  <c r="U95" i="1" s="1"/>
  <c r="M96" i="1"/>
  <c r="M97" i="1"/>
  <c r="T97" i="1" s="1"/>
  <c r="U97" i="1" s="1"/>
  <c r="M98" i="1"/>
  <c r="M99" i="1"/>
  <c r="M100" i="1"/>
  <c r="M70" i="1"/>
  <c r="T70" i="1" s="1"/>
  <c r="U70" i="1" s="1"/>
  <c r="T91" i="1" l="1"/>
  <c r="U91" i="1" s="1"/>
  <c r="T88" i="1"/>
  <c r="U88" i="1" s="1"/>
  <c r="T81" i="1"/>
  <c r="U81" i="1" s="1"/>
  <c r="T79" i="1"/>
  <c r="U79" i="1" s="1"/>
  <c r="T77" i="1"/>
  <c r="U77" i="1" s="1"/>
  <c r="T75" i="1"/>
  <c r="U75" i="1" s="1"/>
  <c r="T73" i="1"/>
  <c r="U73" i="1" s="1"/>
  <c r="T71" i="1"/>
  <c r="U71" i="1" s="1"/>
  <c r="O41" i="17"/>
  <c r="N41" i="17"/>
  <c r="L41" i="17"/>
  <c r="M41" i="17"/>
  <c r="AQ120" i="1"/>
  <c r="AS120" i="1"/>
  <c r="AO120" i="1"/>
  <c r="AQ118" i="1"/>
  <c r="AS118" i="1"/>
  <c r="AO118" i="1"/>
  <c r="AS114" i="1"/>
  <c r="AO114" i="1"/>
  <c r="AQ114" i="1"/>
  <c r="AS119" i="1"/>
  <c r="AO119" i="1"/>
  <c r="AQ119" i="1"/>
  <c r="AS116" i="1"/>
  <c r="AO116" i="1"/>
  <c r="AQ116" i="1"/>
  <c r="AQ113" i="1"/>
  <c r="AO113" i="1"/>
  <c r="AS113" i="1"/>
  <c r="T100" i="1"/>
  <c r="U100" i="1" s="1"/>
  <c r="T98" i="1"/>
  <c r="U98" i="1" s="1"/>
  <c r="T96" i="1"/>
  <c r="U96" i="1" s="1"/>
  <c r="T94" i="1"/>
  <c r="U94" i="1" s="1"/>
  <c r="T92" i="1"/>
  <c r="U92" i="1" s="1"/>
  <c r="T89" i="1"/>
  <c r="U89" i="1" s="1"/>
  <c r="T82" i="1"/>
  <c r="U82" i="1" s="1"/>
  <c r="T80" i="1"/>
  <c r="U80" i="1" s="1"/>
  <c r="T78" i="1"/>
  <c r="U78" i="1" s="1"/>
  <c r="T76" i="1"/>
  <c r="U76" i="1" s="1"/>
  <c r="T74" i="1"/>
  <c r="U74" i="1" s="1"/>
  <c r="T99" i="1"/>
  <c r="U99" i="1" s="1"/>
  <c r="T72" i="1"/>
  <c r="U72" i="1" s="1"/>
  <c r="B28" i="17"/>
  <c r="N40" i="20" s="1"/>
  <c r="AA144" i="1"/>
  <c r="AA140" i="1"/>
  <c r="AA138" i="1"/>
  <c r="AH138" i="1" s="1"/>
  <c r="AA135" i="1"/>
  <c r="AH135" i="1" s="1"/>
  <c r="AA133" i="1"/>
  <c r="AH133" i="1" s="1"/>
  <c r="AA131" i="1"/>
  <c r="AH131" i="1" s="1"/>
  <c r="AA129" i="1"/>
  <c r="AA127" i="1"/>
  <c r="AA125" i="1"/>
  <c r="AA143" i="1"/>
  <c r="AA139" i="1"/>
  <c r="AH139" i="1" s="1"/>
  <c r="AA136" i="1"/>
  <c r="AA134" i="1"/>
  <c r="AA132" i="1"/>
  <c r="AA130" i="1"/>
  <c r="AH130" i="1" s="1"/>
  <c r="AI130" i="1" s="1"/>
  <c r="AA128" i="1"/>
  <c r="AH128" i="1" s="1"/>
  <c r="AA126" i="1"/>
  <c r="AH126" i="1" s="1"/>
  <c r="AH143" i="1"/>
  <c r="AH132" i="1"/>
  <c r="J17" i="17"/>
  <c r="O11" i="17" s="1"/>
  <c r="J16" i="17"/>
  <c r="U8" i="7"/>
  <c r="J18" i="17"/>
  <c r="E8" i="17"/>
  <c r="J19" i="17"/>
  <c r="M11" i="17"/>
  <c r="O9" i="17"/>
  <c r="M9" i="17"/>
  <c r="N9" i="17"/>
  <c r="L9" i="17"/>
  <c r="J8" i="16"/>
  <c r="AH106" i="1"/>
  <c r="AH144" i="1"/>
  <c r="AH142" i="1"/>
  <c r="AH140" i="1"/>
  <c r="AH134" i="1"/>
  <c r="AH129" i="1"/>
  <c r="AH123" i="1"/>
  <c r="AH136" i="1"/>
  <c r="AH103" i="1"/>
  <c r="AH137" i="1"/>
  <c r="AH127" i="1"/>
  <c r="AH105" i="1"/>
  <c r="AH107" i="1"/>
  <c r="AH108" i="1"/>
  <c r="AH104" i="1"/>
  <c r="AH125" i="1"/>
  <c r="AH102" i="1"/>
  <c r="AH141" i="1"/>
  <c r="AH23" i="1"/>
  <c r="AH19" i="1"/>
  <c r="AH15" i="1"/>
  <c r="AH11" i="1"/>
  <c r="AH28" i="1"/>
  <c r="AH24" i="1"/>
  <c r="AH20" i="1"/>
  <c r="AH16" i="1"/>
  <c r="AH12" i="1"/>
  <c r="AH25" i="1"/>
  <c r="AH21" i="1"/>
  <c r="AH17" i="1"/>
  <c r="AH13" i="1"/>
  <c r="AH30" i="1"/>
  <c r="AH26" i="1"/>
  <c r="AH22" i="1"/>
  <c r="AH18" i="1"/>
  <c r="AH14" i="1"/>
  <c r="AH10" i="1"/>
  <c r="AH29" i="1"/>
  <c r="P41" i="17" l="1"/>
  <c r="Q41" i="17" s="1"/>
  <c r="E41" i="17" s="1"/>
  <c r="D50" i="17"/>
  <c r="J50" i="17" s="1"/>
  <c r="B61" i="17"/>
  <c r="AS112" i="1"/>
  <c r="AO112" i="1"/>
  <c r="AQ112" i="1"/>
  <c r="AS121" i="1"/>
  <c r="AO121" i="1"/>
  <c r="AQ121" i="1"/>
  <c r="AS122" i="1"/>
  <c r="AO122" i="1"/>
  <c r="AQ122" i="1"/>
  <c r="AQ117" i="1"/>
  <c r="AS117" i="1"/>
  <c r="AO117" i="1"/>
  <c r="AS115" i="1"/>
  <c r="AO115" i="1"/>
  <c r="AQ115" i="1"/>
  <c r="AS110" i="1"/>
  <c r="AO110" i="1"/>
  <c r="AQ110" i="1"/>
  <c r="L8" i="16"/>
  <c r="N8" i="16"/>
  <c r="M8" i="16"/>
  <c r="O8" i="16"/>
  <c r="N11" i="17"/>
  <c r="O40" i="20"/>
  <c r="AA117" i="1"/>
  <c r="AE117" i="1"/>
  <c r="AC117" i="1"/>
  <c r="AC112" i="1"/>
  <c r="AA112" i="1"/>
  <c r="AE112" i="1"/>
  <c r="AE122" i="1"/>
  <c r="AA122" i="1"/>
  <c r="AC122" i="1"/>
  <c r="AA121" i="1"/>
  <c r="AE121" i="1"/>
  <c r="AC121" i="1"/>
  <c r="AA115" i="1"/>
  <c r="AE115" i="1"/>
  <c r="AC115" i="1"/>
  <c r="AE110" i="1"/>
  <c r="AC110" i="1"/>
  <c r="AA110" i="1"/>
  <c r="D24" i="18"/>
  <c r="H24" i="18" s="1"/>
  <c r="D14" i="18"/>
  <c r="H14" i="18" s="1"/>
  <c r="D11" i="18"/>
  <c r="H11" i="18" s="1"/>
  <c r="D21" i="18"/>
  <c r="H21" i="18" s="1"/>
  <c r="D15" i="18"/>
  <c r="H15" i="18" s="1"/>
  <c r="D19" i="18"/>
  <c r="H19" i="18" s="1"/>
  <c r="D8" i="18"/>
  <c r="H8" i="18" s="1"/>
  <c r="D18" i="18"/>
  <c r="H18" i="18" s="1"/>
  <c r="D13" i="18"/>
  <c r="H13" i="18" s="1"/>
  <c r="D12" i="18"/>
  <c r="H12" i="18" s="1"/>
  <c r="D20" i="18"/>
  <c r="H20" i="18" s="1"/>
  <c r="D10" i="18"/>
  <c r="H10" i="18" s="1"/>
  <c r="D23" i="18"/>
  <c r="H23" i="18" s="1"/>
  <c r="D17" i="18"/>
  <c r="H17" i="18" s="1"/>
  <c r="D9" i="18"/>
  <c r="H9" i="18" s="1"/>
  <c r="D16" i="18"/>
  <c r="H16" i="18" s="1"/>
  <c r="D25" i="18"/>
  <c r="H25" i="18" s="1"/>
  <c r="D22" i="18"/>
  <c r="H22" i="18" s="1"/>
  <c r="L11" i="17"/>
  <c r="P11" i="17" s="1"/>
  <c r="Q11" i="17" s="1"/>
  <c r="D28" i="17"/>
  <c r="Z12" i="7"/>
  <c r="X12" i="7"/>
  <c r="W12" i="7"/>
  <c r="Y12" i="7"/>
  <c r="Z8" i="7"/>
  <c r="Y8" i="7"/>
  <c r="X8" i="7"/>
  <c r="W8" i="7"/>
  <c r="J21" i="17"/>
  <c r="O10" i="17"/>
  <c r="M10" i="17"/>
  <c r="N10" i="17"/>
  <c r="L10" i="17"/>
  <c r="J20" i="17"/>
  <c r="O12" i="17" s="1"/>
  <c r="P9" i="17"/>
  <c r="Q9" i="17" s="1"/>
  <c r="B29" i="17" s="1"/>
  <c r="N41" i="20" s="1"/>
  <c r="O41" i="20" s="1"/>
  <c r="W10" i="7"/>
  <c r="Y10" i="7"/>
  <c r="X10" i="7"/>
  <c r="Z10" i="7"/>
  <c r="Z9" i="7"/>
  <c r="X9" i="7"/>
  <c r="Y9" i="7"/>
  <c r="W9" i="7"/>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E32" i="1"/>
  <c r="AC32" i="1"/>
  <c r="AA32" i="1"/>
  <c r="AA33" i="1"/>
  <c r="AA34" i="1"/>
  <c r="AA35" i="1"/>
  <c r="AA36" i="1"/>
  <c r="AA37" i="1"/>
  <c r="AA39" i="1"/>
  <c r="AA40" i="1"/>
  <c r="AA41" i="1"/>
  <c r="AA42" i="1"/>
  <c r="AA43" i="1"/>
  <c r="AA45" i="1"/>
  <c r="AA46" i="1"/>
  <c r="AA47" i="1"/>
  <c r="AA48" i="1"/>
  <c r="AA49" i="1"/>
  <c r="AA50" i="1"/>
  <c r="AA51" i="1"/>
  <c r="AA52" i="1"/>
  <c r="AA53" i="1"/>
  <c r="AA54" i="1"/>
  <c r="AA55" i="1"/>
  <c r="AA56" i="1"/>
  <c r="AA57" i="1"/>
  <c r="AA58" i="1"/>
  <c r="AA59" i="1"/>
  <c r="AA60" i="1"/>
  <c r="AA61" i="1"/>
  <c r="AA62" i="1"/>
  <c r="AA63" i="1"/>
  <c r="AA64" i="1"/>
  <c r="AA66" i="1"/>
  <c r="AA67" i="1"/>
  <c r="AA68" i="1"/>
  <c r="AA44" i="1"/>
  <c r="AF32" i="1"/>
  <c r="AV115" i="1" l="1"/>
  <c r="AW115" i="1" s="1"/>
  <c r="AV122" i="1"/>
  <c r="AW122" i="1" s="1"/>
  <c r="AH110" i="1"/>
  <c r="AV110" i="1"/>
  <c r="AW110" i="1" s="1"/>
  <c r="O44" i="17"/>
  <c r="N44" i="17"/>
  <c r="L44" i="17"/>
  <c r="M44" i="17"/>
  <c r="D48" i="17"/>
  <c r="J48" i="17" s="1"/>
  <c r="D51" i="17"/>
  <c r="J51" i="17" s="1"/>
  <c r="D53" i="17"/>
  <c r="J53" i="17" s="1"/>
  <c r="D52" i="17"/>
  <c r="J52" i="17" s="1"/>
  <c r="AV121" i="1"/>
  <c r="AW121" i="1" s="1"/>
  <c r="D49" i="17"/>
  <c r="J49" i="17" s="1"/>
  <c r="AV112" i="1"/>
  <c r="AW112" i="1" s="1"/>
  <c r="W40" i="20"/>
  <c r="D61" i="17"/>
  <c r="AV117" i="1"/>
  <c r="AW117" i="1" s="1"/>
  <c r="L12" i="17"/>
  <c r="M12" i="17"/>
  <c r="N12" i="17"/>
  <c r="P12" i="16"/>
  <c r="Q12" i="16" s="1"/>
  <c r="B34" i="16" s="1"/>
  <c r="N31" i="20" s="1"/>
  <c r="O31" i="20" s="1"/>
  <c r="AA38" i="1"/>
  <c r="M9" i="18"/>
  <c r="K9" i="18"/>
  <c r="L9" i="18"/>
  <c r="J9" i="18"/>
  <c r="AA14" i="7"/>
  <c r="AB14" i="7" s="1"/>
  <c r="B38" i="7" s="1"/>
  <c r="N9" i="20" s="1"/>
  <c r="B31" i="17"/>
  <c r="N43" i="20" s="1"/>
  <c r="O43" i="20" s="1"/>
  <c r="AH122" i="1"/>
  <c r="AH121" i="1"/>
  <c r="AH115" i="1"/>
  <c r="AH117" i="1"/>
  <c r="AH112" i="1"/>
  <c r="P10" i="17"/>
  <c r="Q10" i="17" s="1"/>
  <c r="L11" i="18"/>
  <c r="M11" i="18"/>
  <c r="J11" i="18"/>
  <c r="K11" i="18"/>
  <c r="K12" i="18"/>
  <c r="K13" i="18"/>
  <c r="J13" i="18"/>
  <c r="L13" i="18"/>
  <c r="M13" i="18"/>
  <c r="L12" i="18"/>
  <c r="J12" i="18"/>
  <c r="M12" i="18"/>
  <c r="K10" i="18"/>
  <c r="M10" i="18"/>
  <c r="L8" i="18"/>
  <c r="K8" i="18"/>
  <c r="J8" i="18"/>
  <c r="M8" i="18"/>
  <c r="P14" i="16"/>
  <c r="Q14" i="16" s="1"/>
  <c r="B36" i="16" s="1"/>
  <c r="N33" i="20" s="1"/>
  <c r="O33" i="20" s="1"/>
  <c r="L10" i="18"/>
  <c r="E17" i="17"/>
  <c r="J10" i="18"/>
  <c r="P9" i="16"/>
  <c r="Q9" i="16" s="1"/>
  <c r="B31" i="16" s="1"/>
  <c r="N28" i="20" s="1"/>
  <c r="O28" i="20" s="1"/>
  <c r="O13" i="17"/>
  <c r="M13" i="17"/>
  <c r="N13" i="17"/>
  <c r="L13" i="17"/>
  <c r="E15" i="17"/>
  <c r="Z11" i="7"/>
  <c r="X13" i="7"/>
  <c r="Y13" i="7"/>
  <c r="Y11" i="7"/>
  <c r="AA10" i="7"/>
  <c r="AA9" i="7"/>
  <c r="AA8" i="7"/>
  <c r="P44" i="17" l="1"/>
  <c r="Q44" i="17" s="1"/>
  <c r="E50" i="17" s="1"/>
  <c r="O45" i="17"/>
  <c r="N45" i="17"/>
  <c r="L45" i="17"/>
  <c r="M45" i="17"/>
  <c r="O42" i="17"/>
  <c r="N42" i="17"/>
  <c r="L42" i="17"/>
  <c r="M42" i="17"/>
  <c r="B64" i="17"/>
  <c r="X40" i="20"/>
  <c r="O43" i="17"/>
  <c r="N43" i="17"/>
  <c r="L43" i="17"/>
  <c r="M43" i="17"/>
  <c r="P12" i="17"/>
  <c r="Q12" i="17" s="1"/>
  <c r="E16" i="17"/>
  <c r="D31" i="17" s="1"/>
  <c r="B30" i="17"/>
  <c r="N42" i="20" s="1"/>
  <c r="P11" i="16"/>
  <c r="Q11" i="16" s="1"/>
  <c r="N12" i="18"/>
  <c r="O12" i="18" s="1"/>
  <c r="N11" i="18"/>
  <c r="O11" i="18" s="1"/>
  <c r="N13" i="18"/>
  <c r="O13" i="18" s="1"/>
  <c r="N9" i="18"/>
  <c r="O9" i="18" s="1"/>
  <c r="P8" i="16"/>
  <c r="Q8" i="16" s="1"/>
  <c r="B30" i="16" s="1"/>
  <c r="N27" i="20" s="1"/>
  <c r="AB9" i="7"/>
  <c r="AB8" i="7"/>
  <c r="AB10" i="7"/>
  <c r="E73" i="7" s="1"/>
  <c r="E10" i="16"/>
  <c r="D31" i="16" s="1"/>
  <c r="P13" i="16"/>
  <c r="Q13" i="16" s="1"/>
  <c r="B35" i="16" s="1"/>
  <c r="N32" i="20" s="1"/>
  <c r="O32" i="20" s="1"/>
  <c r="E18" i="16"/>
  <c r="D34" i="16" s="1"/>
  <c r="P10" i="16"/>
  <c r="Q10" i="16" s="1"/>
  <c r="B32" i="16" s="1"/>
  <c r="N29" i="20" s="1"/>
  <c r="O29" i="20" s="1"/>
  <c r="E22" i="16"/>
  <c r="D36" i="16" s="1"/>
  <c r="J38" i="8"/>
  <c r="P15" i="16"/>
  <c r="Q15" i="16" s="1"/>
  <c r="B37" i="16" s="1"/>
  <c r="N34" i="20" s="1"/>
  <c r="O34" i="20" s="1"/>
  <c r="N10" i="18"/>
  <c r="O10" i="18" s="1"/>
  <c r="B34" i="18" s="1"/>
  <c r="N52" i="20" s="1"/>
  <c r="N8" i="18"/>
  <c r="B32" i="18" s="1"/>
  <c r="P13" i="17"/>
  <c r="W11" i="7"/>
  <c r="Z13" i="7"/>
  <c r="X11" i="7"/>
  <c r="W13" i="7"/>
  <c r="J8" i="8"/>
  <c r="AJ17" i="1"/>
  <c r="AJ25" i="1"/>
  <c r="AJ26" i="1"/>
  <c r="G33" i="1"/>
  <c r="H33" i="1"/>
  <c r="G34" i="1"/>
  <c r="H34" i="1"/>
  <c r="G35" i="1"/>
  <c r="H35" i="1"/>
  <c r="G36" i="1"/>
  <c r="H36" i="1"/>
  <c r="G37" i="1"/>
  <c r="H37" i="1"/>
  <c r="G38" i="1"/>
  <c r="H38" i="1"/>
  <c r="G39" i="1"/>
  <c r="H39" i="1"/>
  <c r="G40" i="1"/>
  <c r="H40" i="1"/>
  <c r="G41" i="1"/>
  <c r="H41" i="1"/>
  <c r="G42" i="1"/>
  <c r="H42" i="1"/>
  <c r="G43" i="1"/>
  <c r="H43" i="1"/>
  <c r="G44" i="1"/>
  <c r="H44" i="1"/>
  <c r="G45" i="1"/>
  <c r="H45" i="1"/>
  <c r="G46" i="1"/>
  <c r="H46" i="1"/>
  <c r="G47" i="1"/>
  <c r="H47" i="1"/>
  <c r="G48" i="1"/>
  <c r="H48" i="1"/>
  <c r="G49" i="1"/>
  <c r="H49" i="1"/>
  <c r="G50" i="1"/>
  <c r="H50" i="1"/>
  <c r="G51" i="1"/>
  <c r="H51" i="1"/>
  <c r="G52" i="1"/>
  <c r="H52" i="1"/>
  <c r="G53" i="1"/>
  <c r="H53" i="1"/>
  <c r="G54" i="1"/>
  <c r="H54" i="1"/>
  <c r="G55" i="1"/>
  <c r="H55" i="1"/>
  <c r="G56" i="1"/>
  <c r="H56" i="1"/>
  <c r="G57" i="1"/>
  <c r="H57" i="1"/>
  <c r="G58" i="1"/>
  <c r="H58" i="1"/>
  <c r="G59" i="1"/>
  <c r="H59" i="1"/>
  <c r="G60" i="1"/>
  <c r="H60" i="1"/>
  <c r="G61" i="1"/>
  <c r="H61" i="1"/>
  <c r="G62" i="1"/>
  <c r="H62" i="1"/>
  <c r="G63" i="1"/>
  <c r="H63" i="1"/>
  <c r="G64" i="1"/>
  <c r="H64" i="1"/>
  <c r="G65" i="1"/>
  <c r="H65" i="1"/>
  <c r="G66" i="1"/>
  <c r="H66" i="1"/>
  <c r="G67" i="1"/>
  <c r="H67" i="1"/>
  <c r="G68" i="1"/>
  <c r="H68" i="1"/>
  <c r="G32" i="1"/>
  <c r="H32" i="1"/>
  <c r="P43" i="17" l="1"/>
  <c r="Q43" i="17" s="1"/>
  <c r="E49" i="17" s="1"/>
  <c r="P42" i="17"/>
  <c r="Q42" i="17" s="1"/>
  <c r="P45" i="17"/>
  <c r="Q45" i="17" s="1"/>
  <c r="D64" i="17"/>
  <c r="W43" i="20"/>
  <c r="X43" i="20" s="1"/>
  <c r="B62" i="17"/>
  <c r="E48" i="17"/>
  <c r="B33" i="7"/>
  <c r="N4" i="20" s="1"/>
  <c r="E72" i="7"/>
  <c r="B32" i="7"/>
  <c r="N3" i="20" s="1"/>
  <c r="E69" i="7"/>
  <c r="R98" i="1"/>
  <c r="R92" i="1"/>
  <c r="R82" i="1"/>
  <c r="R78" i="1"/>
  <c r="R74" i="1"/>
  <c r="R72" i="1"/>
  <c r="N16" i="8"/>
  <c r="O16" i="8"/>
  <c r="L16" i="8"/>
  <c r="M16" i="8"/>
  <c r="R100" i="1"/>
  <c r="R96" i="1"/>
  <c r="R94" i="1"/>
  <c r="R89" i="1"/>
  <c r="R80" i="1"/>
  <c r="R76" i="1"/>
  <c r="R70" i="1"/>
  <c r="R99" i="1"/>
  <c r="R97" i="1"/>
  <c r="R95" i="1"/>
  <c r="R93" i="1"/>
  <c r="R91" i="1"/>
  <c r="R88" i="1"/>
  <c r="R81" i="1"/>
  <c r="R79" i="1"/>
  <c r="R77" i="1"/>
  <c r="R75" i="1"/>
  <c r="R73" i="1"/>
  <c r="R71" i="1"/>
  <c r="B32" i="17"/>
  <c r="N44" i="20" s="1"/>
  <c r="O44" i="20" s="1"/>
  <c r="E18" i="17"/>
  <c r="O42" i="20"/>
  <c r="D30" i="17"/>
  <c r="O27" i="20"/>
  <c r="E17" i="16"/>
  <c r="B33" i="16"/>
  <c r="N30" i="20" s="1"/>
  <c r="O30" i="20" s="1"/>
  <c r="N50" i="20"/>
  <c r="O50" i="20" s="1"/>
  <c r="E20" i="18"/>
  <c r="B35" i="18"/>
  <c r="N53" i="20" s="1"/>
  <c r="B37" i="18"/>
  <c r="N55" i="20" s="1"/>
  <c r="E21" i="18"/>
  <c r="B36" i="18"/>
  <c r="N54" i="20" s="1"/>
  <c r="E11" i="18"/>
  <c r="B33" i="18"/>
  <c r="N51" i="20" s="1"/>
  <c r="M12" i="7"/>
  <c r="N38" i="7" s="1"/>
  <c r="R8" i="7" s="1"/>
  <c r="B34" i="7"/>
  <c r="N5" i="20" s="1"/>
  <c r="B33" i="17"/>
  <c r="N45" i="20" s="1"/>
  <c r="O45" i="20" s="1"/>
  <c r="E8" i="16"/>
  <c r="D30" i="16" s="1"/>
  <c r="E25" i="18"/>
  <c r="E24" i="18"/>
  <c r="D37" i="18" s="1"/>
  <c r="M8" i="7"/>
  <c r="N34" i="7" s="1"/>
  <c r="R6" i="7" s="1"/>
  <c r="E8" i="7"/>
  <c r="D29" i="17"/>
  <c r="M10" i="7"/>
  <c r="N36" i="7" s="1"/>
  <c r="R7" i="7" s="1"/>
  <c r="E11" i="7"/>
  <c r="AA13" i="7"/>
  <c r="AB13" i="7" s="1"/>
  <c r="E12" i="7"/>
  <c r="E8" i="18"/>
  <c r="E13" i="18"/>
  <c r="D34" i="18" s="1"/>
  <c r="E21" i="17"/>
  <c r="E22" i="17" s="1"/>
  <c r="E24" i="16"/>
  <c r="D37" i="16" s="1"/>
  <c r="E21" i="16"/>
  <c r="D35" i="16" s="1"/>
  <c r="E11" i="16"/>
  <c r="AA12" i="7"/>
  <c r="AA11" i="7"/>
  <c r="O8" i="8"/>
  <c r="N8" i="8"/>
  <c r="M8" i="8"/>
  <c r="L8" i="8"/>
  <c r="AH68" i="1"/>
  <c r="AH60" i="1"/>
  <c r="AH52" i="1"/>
  <c r="AH48" i="1"/>
  <c r="AH44" i="1"/>
  <c r="AH67" i="1"/>
  <c r="AH63" i="1"/>
  <c r="AH59" i="1"/>
  <c r="AH55" i="1"/>
  <c r="AH51" i="1"/>
  <c r="AH47" i="1"/>
  <c r="AH43" i="1"/>
  <c r="AH39" i="1"/>
  <c r="AH35" i="1"/>
  <c r="AH64" i="1"/>
  <c r="AH56" i="1"/>
  <c r="AH40" i="1"/>
  <c r="AH36" i="1"/>
  <c r="AH32" i="1"/>
  <c r="AH65" i="1"/>
  <c r="AH61" i="1"/>
  <c r="AH57" i="1"/>
  <c r="AH53" i="1"/>
  <c r="AH49" i="1"/>
  <c r="AH45" i="1"/>
  <c r="AH41" i="1"/>
  <c r="AH37" i="1"/>
  <c r="AH33" i="1"/>
  <c r="AH66" i="1"/>
  <c r="AH62" i="1"/>
  <c r="AH58" i="1"/>
  <c r="AH50" i="1"/>
  <c r="AH46" i="1"/>
  <c r="AH42" i="1"/>
  <c r="AH38" i="1"/>
  <c r="AH34" i="1"/>
  <c r="AH54" i="1"/>
  <c r="AH98" i="1"/>
  <c r="AH95" i="1"/>
  <c r="AH93" i="1"/>
  <c r="AH92" i="1"/>
  <c r="AH91" i="1"/>
  <c r="AH89" i="1"/>
  <c r="AH88" i="1"/>
  <c r="AH81" i="1"/>
  <c r="AH80" i="1"/>
  <c r="AH79" i="1"/>
  <c r="AH78" i="1"/>
  <c r="AH77" i="1"/>
  <c r="AH76" i="1"/>
  <c r="AH75" i="1"/>
  <c r="AH74" i="1"/>
  <c r="AH73" i="1"/>
  <c r="AH72" i="1"/>
  <c r="AH71" i="1"/>
  <c r="AH100" i="1"/>
  <c r="AH99" i="1"/>
  <c r="AH97" i="1"/>
  <c r="AH96" i="1"/>
  <c r="AH94" i="1"/>
  <c r="AH82" i="1"/>
  <c r="AH70" i="1"/>
  <c r="G14" i="1"/>
  <c r="H14" i="1"/>
  <c r="G15" i="1"/>
  <c r="H15" i="1"/>
  <c r="G16" i="1"/>
  <c r="H16" i="1"/>
  <c r="G17" i="1"/>
  <c r="H17" i="1"/>
  <c r="G18" i="1"/>
  <c r="H18" i="1"/>
  <c r="G19" i="1"/>
  <c r="H19" i="1"/>
  <c r="G20" i="1"/>
  <c r="H20" i="1"/>
  <c r="G21" i="1"/>
  <c r="H21" i="1"/>
  <c r="G22" i="1"/>
  <c r="H22" i="1"/>
  <c r="G23" i="1"/>
  <c r="H23" i="1"/>
  <c r="G24" i="1"/>
  <c r="H24" i="1"/>
  <c r="G25" i="1"/>
  <c r="H25" i="1"/>
  <c r="G26" i="1"/>
  <c r="H26" i="1"/>
  <c r="G28" i="1"/>
  <c r="H28" i="1"/>
  <c r="G29" i="1"/>
  <c r="H29" i="1"/>
  <c r="G30" i="1"/>
  <c r="H30" i="1"/>
  <c r="G13" i="1"/>
  <c r="H13" i="1"/>
  <c r="G12" i="1"/>
  <c r="H12" i="1"/>
  <c r="G9" i="1"/>
  <c r="H9" i="1"/>
  <c r="B63" i="17" l="1"/>
  <c r="E51" i="17"/>
  <c r="E55" i="17" s="1"/>
  <c r="B65" i="17"/>
  <c r="AQ71" i="1"/>
  <c r="AS71" i="1"/>
  <c r="AO71" i="1"/>
  <c r="AQ73" i="1"/>
  <c r="AS73" i="1"/>
  <c r="AO73" i="1"/>
  <c r="AV73" i="1" s="1"/>
  <c r="AW73" i="1" s="1"/>
  <c r="AQ75" i="1"/>
  <c r="AS75" i="1"/>
  <c r="AO75" i="1"/>
  <c r="AQ77" i="1"/>
  <c r="AS77" i="1"/>
  <c r="AO77" i="1"/>
  <c r="AV77" i="1" s="1"/>
  <c r="AW77" i="1" s="1"/>
  <c r="AQ79" i="1"/>
  <c r="AS79" i="1"/>
  <c r="AO79" i="1"/>
  <c r="AQ88" i="1"/>
  <c r="AO88" i="1"/>
  <c r="AS88" i="1"/>
  <c r="AS91" i="1"/>
  <c r="AO91" i="1"/>
  <c r="AQ91" i="1"/>
  <c r="AS95" i="1"/>
  <c r="AO95" i="1"/>
  <c r="AQ95" i="1"/>
  <c r="AS97" i="1"/>
  <c r="AO97" i="1"/>
  <c r="AQ97" i="1"/>
  <c r="AS99" i="1"/>
  <c r="AO99" i="1"/>
  <c r="AQ99" i="1"/>
  <c r="AQ70" i="1"/>
  <c r="AO70" i="1"/>
  <c r="AS70" i="1"/>
  <c r="AQ76" i="1"/>
  <c r="AO76" i="1"/>
  <c r="AS76" i="1"/>
  <c r="AQ89" i="1"/>
  <c r="AS89" i="1"/>
  <c r="AO89" i="1"/>
  <c r="AS96" i="1"/>
  <c r="AO96" i="1"/>
  <c r="AQ96" i="1"/>
  <c r="AS100" i="1"/>
  <c r="AO100" i="1"/>
  <c r="AQ100" i="1"/>
  <c r="AQ72" i="1"/>
  <c r="AO72" i="1"/>
  <c r="AS72" i="1"/>
  <c r="AQ74" i="1"/>
  <c r="AO74" i="1"/>
  <c r="AS74" i="1"/>
  <c r="AQ78" i="1"/>
  <c r="AO78" i="1"/>
  <c r="AS78" i="1"/>
  <c r="AS98" i="1"/>
  <c r="AO98" i="1"/>
  <c r="AQ98" i="1"/>
  <c r="W41" i="20"/>
  <c r="D62" i="17"/>
  <c r="B67" i="17"/>
  <c r="D34" i="7"/>
  <c r="E89" i="7"/>
  <c r="E84" i="7"/>
  <c r="E86" i="7"/>
  <c r="D35" i="18"/>
  <c r="D36" i="18"/>
  <c r="D32" i="17"/>
  <c r="P69" i="8"/>
  <c r="Q69" i="8" s="1"/>
  <c r="B114" i="8" s="1"/>
  <c r="AQ81" i="1"/>
  <c r="AS81" i="1"/>
  <c r="AO81" i="1"/>
  <c r="AQ93" i="1"/>
  <c r="AS93" i="1"/>
  <c r="AO93" i="1"/>
  <c r="AV93" i="1" s="1"/>
  <c r="AW93" i="1" s="1"/>
  <c r="AQ80" i="1"/>
  <c r="AS80" i="1"/>
  <c r="AO80" i="1"/>
  <c r="AS94" i="1"/>
  <c r="AO94" i="1"/>
  <c r="AQ94" i="1"/>
  <c r="AQ82" i="1"/>
  <c r="AS82" i="1"/>
  <c r="AO82" i="1"/>
  <c r="AS92" i="1"/>
  <c r="AO92" i="1"/>
  <c r="AQ92" i="1"/>
  <c r="N56" i="20"/>
  <c r="N65" i="20" s="1"/>
  <c r="B38" i="18"/>
  <c r="N46" i="20"/>
  <c r="N64" i="20" s="1"/>
  <c r="O46" i="20"/>
  <c r="O64" i="20" s="1"/>
  <c r="O35" i="20"/>
  <c r="O63" i="20" s="1"/>
  <c r="D33" i="16"/>
  <c r="N35" i="20"/>
  <c r="P15" i="8"/>
  <c r="Q15" i="8" s="1"/>
  <c r="B53" i="8" s="1"/>
  <c r="N21" i="20" s="1"/>
  <c r="P16" i="8"/>
  <c r="Q16" i="8" s="1"/>
  <c r="B54" i="8" s="1"/>
  <c r="N22" i="20" s="1"/>
  <c r="O22" i="20" s="1"/>
  <c r="D33" i="18"/>
  <c r="E25" i="7"/>
  <c r="D38" i="7" s="1"/>
  <c r="E23" i="7"/>
  <c r="B37" i="7"/>
  <c r="E27" i="16"/>
  <c r="E26" i="18"/>
  <c r="D33" i="7"/>
  <c r="M19" i="7"/>
  <c r="N45" i="7" s="1"/>
  <c r="R11" i="7" s="1"/>
  <c r="AB11" i="7"/>
  <c r="E77" i="7" s="1"/>
  <c r="AB12" i="7"/>
  <c r="E82" i="7" s="1"/>
  <c r="O9" i="8"/>
  <c r="N9" i="8"/>
  <c r="M9" i="8"/>
  <c r="L9" i="8"/>
  <c r="P8" i="8"/>
  <c r="Q8" i="8" s="1"/>
  <c r="B46" i="8" s="1"/>
  <c r="N14" i="20" s="1"/>
  <c r="N12" i="8"/>
  <c r="K33" i="20"/>
  <c r="W108" i="1"/>
  <c r="Y108" i="1" s="1"/>
  <c r="W107" i="1"/>
  <c r="Y107" i="1" s="1"/>
  <c r="K45" i="20"/>
  <c r="K44" i="20"/>
  <c r="K43" i="20"/>
  <c r="K42" i="20"/>
  <c r="K41" i="20"/>
  <c r="W106" i="1"/>
  <c r="K28" i="20"/>
  <c r="K30" i="20"/>
  <c r="W28" i="1"/>
  <c r="W29" i="1"/>
  <c r="W30" i="1"/>
  <c r="W12" i="1"/>
  <c r="I4" i="20" s="1"/>
  <c r="M4" i="20" s="1"/>
  <c r="O4" i="20" s="1"/>
  <c r="W13" i="1"/>
  <c r="W14" i="1"/>
  <c r="W15" i="1"/>
  <c r="W16" i="1"/>
  <c r="W17" i="1"/>
  <c r="W18" i="1"/>
  <c r="W19" i="1"/>
  <c r="W20" i="1"/>
  <c r="W21" i="1"/>
  <c r="W22" i="1"/>
  <c r="W23" i="1"/>
  <c r="W24" i="1"/>
  <c r="W25" i="1"/>
  <c r="W9" i="1"/>
  <c r="Y12" i="1"/>
  <c r="Y13" i="1"/>
  <c r="Y14" i="1"/>
  <c r="Y15" i="1"/>
  <c r="Y17" i="1"/>
  <c r="Y18" i="1"/>
  <c r="Y19" i="1"/>
  <c r="Y20" i="1"/>
  <c r="Y21" i="1"/>
  <c r="Y22" i="1"/>
  <c r="Y23" i="1"/>
  <c r="Y24" i="1"/>
  <c r="Y25" i="1"/>
  <c r="Y26" i="1"/>
  <c r="Y28" i="1"/>
  <c r="Y29" i="1"/>
  <c r="Y30" i="1"/>
  <c r="Y9" i="1"/>
  <c r="AV82" i="1" l="1"/>
  <c r="AW82" i="1" s="1"/>
  <c r="AV80" i="1"/>
  <c r="AW80" i="1" s="1"/>
  <c r="AV81" i="1"/>
  <c r="AW81" i="1" s="1"/>
  <c r="AV89" i="1"/>
  <c r="AW89" i="1" s="1"/>
  <c r="AV79" i="1"/>
  <c r="AW79" i="1" s="1"/>
  <c r="AV75" i="1"/>
  <c r="AW75" i="1" s="1"/>
  <c r="AV71" i="1"/>
  <c r="AW71" i="1" s="1"/>
  <c r="D63" i="17"/>
  <c r="W42" i="20"/>
  <c r="X42" i="20" s="1"/>
  <c r="W44" i="20"/>
  <c r="X44" i="20" s="1"/>
  <c r="D65" i="17"/>
  <c r="E21" i="7"/>
  <c r="AV92" i="1"/>
  <c r="AW92" i="1" s="1"/>
  <c r="AV94" i="1"/>
  <c r="AW94" i="1" s="1"/>
  <c r="AV98" i="1"/>
  <c r="AW98" i="1" s="1"/>
  <c r="AV78" i="1"/>
  <c r="AW78" i="1" s="1"/>
  <c r="AV74" i="1"/>
  <c r="AW74" i="1" s="1"/>
  <c r="AV72" i="1"/>
  <c r="AW72" i="1" s="1"/>
  <c r="AV100" i="1"/>
  <c r="AW100" i="1" s="1"/>
  <c r="AV96" i="1"/>
  <c r="AW96" i="1" s="1"/>
  <c r="AV76" i="1"/>
  <c r="AW76" i="1" s="1"/>
  <c r="AV70" i="1"/>
  <c r="AW70" i="1" s="1"/>
  <c r="AV99" i="1"/>
  <c r="AW99" i="1" s="1"/>
  <c r="AV97" i="1"/>
  <c r="AW97" i="1" s="1"/>
  <c r="AV95" i="1"/>
  <c r="AW95" i="1" s="1"/>
  <c r="AV91" i="1"/>
  <c r="AW91" i="1" s="1"/>
  <c r="AV88" i="1"/>
  <c r="AW88" i="1" s="1"/>
  <c r="D114" i="8"/>
  <c r="W22" i="20"/>
  <c r="X22" i="20" s="1"/>
  <c r="X41" i="20"/>
  <c r="X46" i="20" s="1"/>
  <c r="X64" i="20" s="1"/>
  <c r="W46" i="20"/>
  <c r="W64" i="20" s="1"/>
  <c r="AK151" i="1"/>
  <c r="Y106" i="1"/>
  <c r="AM157" i="1" s="1"/>
  <c r="AK157" i="1"/>
  <c r="AG9" i="1"/>
  <c r="AI9" i="1" s="1"/>
  <c r="I6" i="20"/>
  <c r="M6" i="20" s="1"/>
  <c r="I7" i="20"/>
  <c r="M7" i="20" s="1"/>
  <c r="I5" i="20"/>
  <c r="M5" i="20" s="1"/>
  <c r="O5" i="20" s="1"/>
  <c r="I9" i="20"/>
  <c r="M9" i="20" s="1"/>
  <c r="O9" i="20" s="1"/>
  <c r="D37" i="7"/>
  <c r="N8" i="20"/>
  <c r="O8" i="20" s="1"/>
  <c r="M14" i="7"/>
  <c r="B35" i="7"/>
  <c r="N6" i="20" s="1"/>
  <c r="M17" i="7"/>
  <c r="N43" i="7" s="1"/>
  <c r="B36" i="7"/>
  <c r="M53" i="20"/>
  <c r="O53" i="20" s="1"/>
  <c r="M55" i="20"/>
  <c r="O55" i="20" s="1"/>
  <c r="K34" i="20"/>
  <c r="Y89" i="1"/>
  <c r="Y88" i="1"/>
  <c r="Y82" i="1"/>
  <c r="Y81" i="1"/>
  <c r="Y80" i="1"/>
  <c r="Y79" i="1"/>
  <c r="Y78" i="1"/>
  <c r="Y77" i="1"/>
  <c r="Y76" i="1"/>
  <c r="Y75" i="1"/>
  <c r="Y74" i="1"/>
  <c r="Y73" i="1"/>
  <c r="Y72" i="1"/>
  <c r="Y71" i="1"/>
  <c r="Y94" i="1"/>
  <c r="Y93" i="1"/>
  <c r="Y92" i="1"/>
  <c r="Y96" i="1"/>
  <c r="Y99" i="1"/>
  <c r="Y98" i="1"/>
  <c r="Y70" i="1"/>
  <c r="Y95" i="1"/>
  <c r="Y97" i="1"/>
  <c r="K27" i="20"/>
  <c r="K31" i="20"/>
  <c r="K29" i="20"/>
  <c r="K32" i="20"/>
  <c r="X69" i="1"/>
  <c r="D18" i="20"/>
  <c r="D4" i="20"/>
  <c r="R14" i="8"/>
  <c r="R13" i="8"/>
  <c r="R12" i="8"/>
  <c r="D3" i="20"/>
  <c r="D8" i="20"/>
  <c r="K8" i="20" s="1"/>
  <c r="D15" i="20"/>
  <c r="K15" i="20" s="1"/>
  <c r="D9" i="20"/>
  <c r="D22" i="20"/>
  <c r="D21" i="20"/>
  <c r="D20" i="20"/>
  <c r="D19" i="20"/>
  <c r="D7" i="20"/>
  <c r="D6" i="20"/>
  <c r="D5" i="20"/>
  <c r="D16" i="20"/>
  <c r="AG98" i="1"/>
  <c r="AI98" i="1" s="1"/>
  <c r="D32" i="18"/>
  <c r="D38" i="18" s="1"/>
  <c r="AG68" i="1"/>
  <c r="AI68" i="1" s="1"/>
  <c r="AG66" i="1"/>
  <c r="AI66" i="1" s="1"/>
  <c r="D33" i="17"/>
  <c r="B34" i="17"/>
  <c r="D32" i="16"/>
  <c r="B38" i="16"/>
  <c r="AG134" i="1"/>
  <c r="AI134" i="1" s="1"/>
  <c r="AG64" i="1"/>
  <c r="AI64" i="1" s="1"/>
  <c r="AG62" i="1"/>
  <c r="AI62" i="1" s="1"/>
  <c r="AG52" i="1"/>
  <c r="AI52" i="1" s="1"/>
  <c r="P20" i="8"/>
  <c r="P9" i="8"/>
  <c r="E16" i="7"/>
  <c r="E28" i="7" s="1"/>
  <c r="N40" i="7"/>
  <c r="M21" i="7"/>
  <c r="AG76" i="1"/>
  <c r="AI76" i="1" s="1"/>
  <c r="AG74" i="1"/>
  <c r="AI74" i="1" s="1"/>
  <c r="AG132" i="1"/>
  <c r="AI132" i="1" s="1"/>
  <c r="AG135" i="1"/>
  <c r="AI135" i="1" s="1"/>
  <c r="AG143" i="1"/>
  <c r="AI143" i="1" s="1"/>
  <c r="N6" i="7"/>
  <c r="O10" i="8"/>
  <c r="M10" i="8"/>
  <c r="N10" i="8"/>
  <c r="L10" i="8"/>
  <c r="M12" i="8"/>
  <c r="L12" i="8"/>
  <c r="O11" i="8"/>
  <c r="M11" i="8"/>
  <c r="N11" i="8"/>
  <c r="L11" i="8"/>
  <c r="N13" i="8"/>
  <c r="L13" i="8"/>
  <c r="O13" i="8"/>
  <c r="M13" i="8"/>
  <c r="O12" i="8"/>
  <c r="AG12" i="1"/>
  <c r="AI12" i="1" s="1"/>
  <c r="AG129" i="1"/>
  <c r="AI129" i="1" s="1"/>
  <c r="AG104" i="1"/>
  <c r="AI104" i="1" s="1"/>
  <c r="AG123" i="1"/>
  <c r="AI123" i="1" s="1"/>
  <c r="AG133" i="1"/>
  <c r="AI133" i="1" s="1"/>
  <c r="AG139" i="1"/>
  <c r="AI139" i="1" s="1"/>
  <c r="AG95" i="1"/>
  <c r="AI95" i="1" s="1"/>
  <c r="AG99" i="1"/>
  <c r="AI99" i="1" s="1"/>
  <c r="AG106" i="1"/>
  <c r="AI106" i="1" s="1"/>
  <c r="AG103" i="1"/>
  <c r="AI103" i="1" s="1"/>
  <c r="AG112" i="1"/>
  <c r="AI112" i="1" s="1"/>
  <c r="AG140" i="1"/>
  <c r="AI140" i="1" s="1"/>
  <c r="AG49" i="1"/>
  <c r="AI49" i="1" s="1"/>
  <c r="AG67" i="1"/>
  <c r="AI67" i="1" s="1"/>
  <c r="AG65" i="1"/>
  <c r="AI65" i="1" s="1"/>
  <c r="AG63" i="1"/>
  <c r="AI63" i="1" s="1"/>
  <c r="AG61" i="1"/>
  <c r="AI61" i="1" s="1"/>
  <c r="AG59" i="1"/>
  <c r="AI59" i="1" s="1"/>
  <c r="AG55" i="1"/>
  <c r="AI55" i="1" s="1"/>
  <c r="AG53" i="1"/>
  <c r="AI53" i="1" s="1"/>
  <c r="AG89" i="1"/>
  <c r="AI89" i="1" s="1"/>
  <c r="AG77" i="1"/>
  <c r="AI77" i="1" s="1"/>
  <c r="AG75" i="1"/>
  <c r="AI75" i="1" s="1"/>
  <c r="AG72" i="1"/>
  <c r="AI72" i="1" s="1"/>
  <c r="AG137" i="1"/>
  <c r="AI137" i="1" s="1"/>
  <c r="AG141" i="1"/>
  <c r="AI141" i="1" s="1"/>
  <c r="AG93" i="1"/>
  <c r="AI93" i="1" s="1"/>
  <c r="AG96" i="1"/>
  <c r="AI96" i="1" s="1"/>
  <c r="AG144" i="1"/>
  <c r="AI144" i="1" s="1"/>
  <c r="AG97" i="1"/>
  <c r="AI97" i="1" s="1"/>
  <c r="AG115" i="1"/>
  <c r="AI115" i="1" s="1"/>
  <c r="AG43" i="1"/>
  <c r="AI43" i="1" s="1"/>
  <c r="AG46" i="1"/>
  <c r="AI46" i="1" s="1"/>
  <c r="AG42" i="1"/>
  <c r="AI42" i="1" s="1"/>
  <c r="AG38" i="1"/>
  <c r="AI38" i="1" s="1"/>
  <c r="AG70" i="1"/>
  <c r="AI70" i="1" s="1"/>
  <c r="AG88" i="1"/>
  <c r="AI88" i="1" s="1"/>
  <c r="AG79" i="1"/>
  <c r="AI79" i="1" s="1"/>
  <c r="AG71" i="1"/>
  <c r="AI71" i="1" s="1"/>
  <c r="AG105" i="1"/>
  <c r="AI105" i="1" s="1"/>
  <c r="AG121" i="1"/>
  <c r="AI121" i="1" s="1"/>
  <c r="AG107" i="1"/>
  <c r="AI107" i="1" s="1"/>
  <c r="AG108" i="1"/>
  <c r="AI108" i="1" s="1"/>
  <c r="AG127" i="1"/>
  <c r="AI127" i="1" s="1"/>
  <c r="AG128" i="1"/>
  <c r="AI128" i="1" s="1"/>
  <c r="AG131" i="1"/>
  <c r="AI131" i="1" s="1"/>
  <c r="AG94" i="1"/>
  <c r="AI94" i="1" s="1"/>
  <c r="AG45" i="1"/>
  <c r="AI45" i="1" s="1"/>
  <c r="AG136" i="1"/>
  <c r="AI136" i="1" s="1"/>
  <c r="AG138" i="1"/>
  <c r="AI138" i="1" s="1"/>
  <c r="AG41" i="1"/>
  <c r="AI41" i="1" s="1"/>
  <c r="AG48" i="1"/>
  <c r="AI48" i="1" s="1"/>
  <c r="AG44" i="1"/>
  <c r="AI44" i="1" s="1"/>
  <c r="AG40" i="1"/>
  <c r="AI40" i="1" s="1"/>
  <c r="AG82" i="1"/>
  <c r="AI82" i="1" s="1"/>
  <c r="AG80" i="1"/>
  <c r="AI80" i="1" s="1"/>
  <c r="AG78" i="1"/>
  <c r="AI78" i="1" s="1"/>
  <c r="AG73" i="1"/>
  <c r="AI73" i="1" s="1"/>
  <c r="AG102" i="1"/>
  <c r="AI102" i="1" s="1"/>
  <c r="AG110" i="1"/>
  <c r="AI110" i="1" s="1"/>
  <c r="AG117" i="1"/>
  <c r="AI117" i="1" s="1"/>
  <c r="AG122" i="1"/>
  <c r="AI122" i="1" s="1"/>
  <c r="X145" i="1"/>
  <c r="AG125" i="1"/>
  <c r="AI125" i="1" s="1"/>
  <c r="AG126" i="1"/>
  <c r="AI126" i="1" s="1"/>
  <c r="AG92" i="1"/>
  <c r="AI92" i="1" s="1"/>
  <c r="AG100" i="1"/>
  <c r="AI100" i="1" s="1"/>
  <c r="AG37" i="1"/>
  <c r="AI37" i="1" s="1"/>
  <c r="AG47" i="1"/>
  <c r="AI47" i="1" s="1"/>
  <c r="AG142" i="1"/>
  <c r="AI142" i="1" s="1"/>
  <c r="AG81" i="1"/>
  <c r="AI81" i="1" s="1"/>
  <c r="AG39" i="1"/>
  <c r="AI39" i="1" s="1"/>
  <c r="AG28" i="1"/>
  <c r="AI28" i="1" s="1"/>
  <c r="AG26" i="1"/>
  <c r="AI26" i="1" s="1"/>
  <c r="AG19" i="1"/>
  <c r="AI19" i="1" s="1"/>
  <c r="AG17" i="1"/>
  <c r="AI17" i="1" s="1"/>
  <c r="AG23" i="1"/>
  <c r="AI23" i="1" s="1"/>
  <c r="AG21" i="1"/>
  <c r="AI21" i="1" s="1"/>
  <c r="AG14" i="1"/>
  <c r="AI14" i="1" s="1"/>
  <c r="AG24" i="1"/>
  <c r="AI24" i="1" s="1"/>
  <c r="AG22" i="1"/>
  <c r="AI22" i="1" s="1"/>
  <c r="AG15" i="1"/>
  <c r="AI15" i="1" s="1"/>
  <c r="AG29" i="1"/>
  <c r="AI29" i="1" s="1"/>
  <c r="AG25" i="1"/>
  <c r="AI25" i="1" s="1"/>
  <c r="AG20" i="1"/>
  <c r="AI20" i="1" s="1"/>
  <c r="AG18" i="1"/>
  <c r="AI18" i="1" s="1"/>
  <c r="AG16" i="1"/>
  <c r="AI16" i="1" s="1"/>
  <c r="AG13" i="1"/>
  <c r="AI13" i="1" s="1"/>
  <c r="AG30" i="1"/>
  <c r="AI30" i="1" s="1"/>
  <c r="W145" i="1"/>
  <c r="X101" i="1"/>
  <c r="X124" i="1"/>
  <c r="W124" i="1"/>
  <c r="Y124" i="1"/>
  <c r="X31" i="1"/>
  <c r="Y16" i="1"/>
  <c r="AM151" i="1" s="1"/>
  <c r="D67" i="17" l="1"/>
  <c r="D36" i="7"/>
  <c r="N7" i="20"/>
  <c r="O7" i="20" s="1"/>
  <c r="N10" i="20"/>
  <c r="N61" i="20" s="1"/>
  <c r="O6" i="20"/>
  <c r="W54" i="1"/>
  <c r="AK57" i="1"/>
  <c r="W57" i="1"/>
  <c r="W56" i="1"/>
  <c r="AK58" i="1"/>
  <c r="W58" i="1"/>
  <c r="W60" i="1"/>
  <c r="K35" i="20"/>
  <c r="M52" i="20"/>
  <c r="O52" i="20" s="1"/>
  <c r="M51" i="20"/>
  <c r="M54" i="20"/>
  <c r="O54" i="20" s="1"/>
  <c r="J46" i="20"/>
  <c r="J64" i="20" s="1"/>
  <c r="K40" i="20"/>
  <c r="K46" i="20" s="1"/>
  <c r="K64" i="20" s="1"/>
  <c r="K16" i="20"/>
  <c r="J23" i="20"/>
  <c r="J62" i="20" s="1"/>
  <c r="K9" i="20"/>
  <c r="K5" i="20"/>
  <c r="K7" i="20"/>
  <c r="K4" i="20"/>
  <c r="K6" i="20"/>
  <c r="J10" i="20"/>
  <c r="J61" i="20" s="1"/>
  <c r="C23" i="20"/>
  <c r="C62" i="20" s="1"/>
  <c r="C10" i="20"/>
  <c r="Y145" i="1"/>
  <c r="D34" i="17"/>
  <c r="D38" i="16"/>
  <c r="Q9" i="8"/>
  <c r="P19" i="8"/>
  <c r="P21" i="8" s="1"/>
  <c r="D35" i="7"/>
  <c r="B39" i="7"/>
  <c r="R9" i="7"/>
  <c r="N47" i="7"/>
  <c r="R10" i="7"/>
  <c r="P11" i="8"/>
  <c r="Q11" i="8" s="1"/>
  <c r="B49" i="8" s="1"/>
  <c r="P10" i="8"/>
  <c r="Q10" i="8" s="1"/>
  <c r="B48" i="8" s="1"/>
  <c r="N16" i="20" s="1"/>
  <c r="P14" i="8"/>
  <c r="Q14" i="8" s="1"/>
  <c r="B52" i="8" s="1"/>
  <c r="N20" i="20" s="1"/>
  <c r="P13" i="8"/>
  <c r="P12" i="8"/>
  <c r="X147" i="1"/>
  <c r="R67" i="8" l="1"/>
  <c r="T67" i="8" s="1"/>
  <c r="E88" i="8" s="1"/>
  <c r="C112" i="8" s="1"/>
  <c r="D112" i="8" s="1"/>
  <c r="AK60" i="1"/>
  <c r="R20" i="20" s="1"/>
  <c r="R66" i="8"/>
  <c r="T66" i="8" s="1"/>
  <c r="E84" i="8" s="1"/>
  <c r="C111" i="8" s="1"/>
  <c r="D111" i="8" s="1"/>
  <c r="AK56" i="1"/>
  <c r="R19" i="20" s="1"/>
  <c r="R65" i="8"/>
  <c r="AK54" i="1"/>
  <c r="AM60" i="1"/>
  <c r="AM57" i="1"/>
  <c r="AM58" i="1"/>
  <c r="AM56" i="1"/>
  <c r="AM54" i="1"/>
  <c r="N17" i="20"/>
  <c r="O17" i="20" s="1"/>
  <c r="Y60" i="1"/>
  <c r="AG60" i="1"/>
  <c r="AI60" i="1" s="1"/>
  <c r="Y58" i="1"/>
  <c r="AG58" i="1"/>
  <c r="AI58" i="1" s="1"/>
  <c r="I19" i="20"/>
  <c r="T13" i="8"/>
  <c r="E30" i="8" s="1"/>
  <c r="C51" i="8" s="1"/>
  <c r="Y54" i="1"/>
  <c r="AG54" i="1"/>
  <c r="AI54" i="1" s="1"/>
  <c r="I20" i="20"/>
  <c r="T14" i="8"/>
  <c r="E31" i="8" s="1"/>
  <c r="C52" i="8" s="1"/>
  <c r="D52" i="8" s="1"/>
  <c r="Y56" i="1"/>
  <c r="AG56" i="1"/>
  <c r="AI56" i="1" s="1"/>
  <c r="Y57" i="1"/>
  <c r="AG57" i="1"/>
  <c r="AI57" i="1" s="1"/>
  <c r="I18" i="20"/>
  <c r="R17" i="8"/>
  <c r="T12" i="8"/>
  <c r="E28" i="8" s="1"/>
  <c r="C50" i="8" s="1"/>
  <c r="O51" i="20"/>
  <c r="M56" i="20"/>
  <c r="M65" i="20" s="1"/>
  <c r="D54" i="8"/>
  <c r="O16" i="20"/>
  <c r="D48" i="8"/>
  <c r="B47" i="8"/>
  <c r="N15" i="20" s="1"/>
  <c r="O56" i="20"/>
  <c r="O65" i="20" s="1"/>
  <c r="D10" i="20"/>
  <c r="D61" i="20" s="1"/>
  <c r="C61" i="20"/>
  <c r="F61" i="20" s="1"/>
  <c r="Q12" i="8"/>
  <c r="Q13" i="8"/>
  <c r="B51" i="8" s="1"/>
  <c r="R70" i="8" l="1"/>
  <c r="T65" i="8"/>
  <c r="E81" i="8" s="1"/>
  <c r="C110" i="8" s="1"/>
  <c r="AM69" i="1"/>
  <c r="AM147" i="1" s="1"/>
  <c r="R18" i="20"/>
  <c r="AK69" i="1"/>
  <c r="AK147" i="1" s="1"/>
  <c r="T19" i="20"/>
  <c r="V19" i="20"/>
  <c r="X19" i="20" s="1"/>
  <c r="T20" i="20"/>
  <c r="V20" i="20"/>
  <c r="X20" i="20" s="1"/>
  <c r="AU58" i="1"/>
  <c r="AW58" i="1" s="1"/>
  <c r="AU60" i="1"/>
  <c r="AW60" i="1" s="1"/>
  <c r="AU56" i="1"/>
  <c r="AW56" i="1" s="1"/>
  <c r="AU54" i="1"/>
  <c r="AW54" i="1" s="1"/>
  <c r="AL69" i="1"/>
  <c r="AL147" i="1" s="1"/>
  <c r="AU57" i="1"/>
  <c r="AW57" i="1" s="1"/>
  <c r="D51" i="8"/>
  <c r="N19" i="20"/>
  <c r="M18" i="20"/>
  <c r="K18" i="20"/>
  <c r="M20" i="20"/>
  <c r="O20" i="20" s="1"/>
  <c r="K20" i="20"/>
  <c r="M19" i="20"/>
  <c r="K19" i="20"/>
  <c r="B50" i="8"/>
  <c r="N18" i="20" s="1"/>
  <c r="D47" i="8"/>
  <c r="C66" i="20"/>
  <c r="C67" i="20" s="1"/>
  <c r="AA3" i="1"/>
  <c r="AA2" i="1"/>
  <c r="AA1" i="1"/>
  <c r="AA4" i="1"/>
  <c r="AD4" i="1"/>
  <c r="AF4" i="1"/>
  <c r="AH4" i="1"/>
  <c r="AJ4" i="1"/>
  <c r="T18" i="20" l="1"/>
  <c r="T23" i="20" s="1"/>
  <c r="T62" i="20" s="1"/>
  <c r="R23" i="20"/>
  <c r="R62" i="20" s="1"/>
  <c r="V18" i="20"/>
  <c r="C115" i="8"/>
  <c r="E98" i="8" s="1"/>
  <c r="D110" i="8"/>
  <c r="O15" i="20"/>
  <c r="O18" i="20"/>
  <c r="D50" i="8"/>
  <c r="O19" i="20"/>
  <c r="D53" i="8"/>
  <c r="B55" i="8"/>
  <c r="O21" i="20" s="1"/>
  <c r="I36" i="1"/>
  <c r="I51" i="1"/>
  <c r="X18" i="20" l="1"/>
  <c r="V23" i="20"/>
  <c r="V62" i="20" s="1"/>
  <c r="N23" i="20"/>
  <c r="N62" i="20" s="1"/>
  <c r="I50" i="1"/>
  <c r="B17" i="20"/>
  <c r="I35" i="1"/>
  <c r="I152" i="1" s="1"/>
  <c r="B14" i="20"/>
  <c r="F14" i="20" s="1"/>
  <c r="K51" i="1"/>
  <c r="S51" i="1"/>
  <c r="U51" i="1" s="1"/>
  <c r="K36" i="1"/>
  <c r="S36" i="1"/>
  <c r="U36" i="1" s="1"/>
  <c r="AS36" i="1" l="1"/>
  <c r="AO36" i="1"/>
  <c r="AQ36" i="1"/>
  <c r="AQ51" i="1"/>
  <c r="AS51" i="1"/>
  <c r="AO51" i="1"/>
  <c r="D17" i="20"/>
  <c r="K17" i="20" s="1"/>
  <c r="F17" i="20"/>
  <c r="F23" i="20" s="1"/>
  <c r="AG36" i="1"/>
  <c r="AI36" i="1" s="1"/>
  <c r="AG51" i="1"/>
  <c r="AI51" i="1" s="1"/>
  <c r="B23" i="20"/>
  <c r="B62" i="20" s="1"/>
  <c r="D14" i="20"/>
  <c r="K35" i="1"/>
  <c r="S35" i="1"/>
  <c r="U35" i="1" s="1"/>
  <c r="I69" i="1"/>
  <c r="I147" i="1" s="1"/>
  <c r="K50" i="1"/>
  <c r="S50" i="1"/>
  <c r="U50" i="1" s="1"/>
  <c r="AV51" i="1" l="1"/>
  <c r="AW51" i="1" s="1"/>
  <c r="D80" i="8"/>
  <c r="J80" i="8" s="1"/>
  <c r="D65" i="8"/>
  <c r="J65" i="8" s="1"/>
  <c r="AV36" i="1"/>
  <c r="AW36" i="1" s="1"/>
  <c r="AS35" i="1"/>
  <c r="AO35" i="1"/>
  <c r="AQ35" i="1"/>
  <c r="AQ50" i="1"/>
  <c r="AS50" i="1"/>
  <c r="AO50" i="1"/>
  <c r="B66" i="20"/>
  <c r="F62" i="20"/>
  <c r="F66" i="20" s="1"/>
  <c r="B67" i="20"/>
  <c r="K152" i="1"/>
  <c r="K69" i="1"/>
  <c r="K147" i="1" s="1"/>
  <c r="T11" i="8"/>
  <c r="E26" i="8" s="1"/>
  <c r="C49" i="8" s="1"/>
  <c r="AG50" i="1"/>
  <c r="AI50" i="1" s="1"/>
  <c r="T8" i="8"/>
  <c r="E8" i="8" s="1"/>
  <c r="C46" i="8" s="1"/>
  <c r="D23" i="20"/>
  <c r="D62" i="20" s="1"/>
  <c r="D66" i="20" s="1"/>
  <c r="AV50" i="1" l="1"/>
  <c r="AW50" i="1" s="1"/>
  <c r="D79" i="8"/>
  <c r="J79" i="8" s="1"/>
  <c r="D64" i="8"/>
  <c r="J64" i="8" s="1"/>
  <c r="AV35" i="1"/>
  <c r="AW35" i="1" s="1"/>
  <c r="D67" i="20"/>
  <c r="AG35" i="1"/>
  <c r="AI35" i="1" s="1"/>
  <c r="D46" i="8"/>
  <c r="D49" i="8"/>
  <c r="O61" i="8" l="1"/>
  <c r="L61" i="8"/>
  <c r="N61" i="8"/>
  <c r="M61" i="8"/>
  <c r="O64" i="8"/>
  <c r="L64" i="8"/>
  <c r="M64" i="8"/>
  <c r="N64" i="8"/>
  <c r="C55" i="8"/>
  <c r="E41" i="8" s="1"/>
  <c r="D55" i="8"/>
  <c r="P64" i="8" l="1"/>
  <c r="Q64" i="8" s="1"/>
  <c r="B109" i="8" s="1"/>
  <c r="P61" i="8"/>
  <c r="Q61" i="8" s="1"/>
  <c r="B106" i="8" s="1"/>
  <c r="X149" i="1"/>
  <c r="X153" i="1"/>
  <c r="Y151" i="1"/>
  <c r="Y157" i="1"/>
  <c r="X154" i="1"/>
  <c r="Y150" i="1"/>
  <c r="W150" i="1"/>
  <c r="Y155" i="1"/>
  <c r="W149" i="1"/>
  <c r="Y149" i="1"/>
  <c r="W151" i="1"/>
  <c r="X150" i="1"/>
  <c r="W155" i="1"/>
  <c r="X151" i="1"/>
  <c r="X152" i="1"/>
  <c r="W157" i="1"/>
  <c r="X157" i="1"/>
  <c r="X155" i="1"/>
  <c r="W14" i="20" l="1"/>
  <c r="D106" i="8"/>
  <c r="B115" i="8"/>
  <c r="D109" i="8"/>
  <c r="W17" i="20"/>
  <c r="X17" i="20" s="1"/>
  <c r="X156" i="1"/>
  <c r="X158" i="1" s="1"/>
  <c r="I156" i="1"/>
  <c r="I158" i="1" s="1"/>
  <c r="I159" i="1" s="1"/>
  <c r="K156" i="1"/>
  <c r="K158" i="1" s="1"/>
  <c r="J156" i="1"/>
  <c r="J158" i="1" s="1"/>
  <c r="Y11" i="1"/>
  <c r="W11" i="1"/>
  <c r="AG11" i="1" s="1"/>
  <c r="AI11" i="1" s="1"/>
  <c r="W10" i="1"/>
  <c r="AK153" i="1" s="1"/>
  <c r="AE8" i="7"/>
  <c r="F8" i="7" s="1"/>
  <c r="D115" i="8" l="1"/>
  <c r="W23" i="20"/>
  <c r="W62" i="20" s="1"/>
  <c r="X14" i="20"/>
  <c r="X23" i="20" s="1"/>
  <c r="X62" i="20" s="1"/>
  <c r="C32" i="7"/>
  <c r="F28" i="7"/>
  <c r="W31" i="1"/>
  <c r="I3" i="20"/>
  <c r="W153" i="1"/>
  <c r="N8" i="7"/>
  <c r="N21" i="7" s="1"/>
  <c r="Y10" i="1"/>
  <c r="AM153" i="1" s="1"/>
  <c r="AG10" i="1"/>
  <c r="AI10" i="1" s="1"/>
  <c r="M3" i="20" l="1"/>
  <c r="K3" i="20"/>
  <c r="I10" i="20"/>
  <c r="Y31" i="1"/>
  <c r="Y153" i="1"/>
  <c r="C39" i="7"/>
  <c r="D32" i="7"/>
  <c r="D39" i="7" s="1"/>
  <c r="I61" i="20" l="1"/>
  <c r="K10" i="20"/>
  <c r="K61" i="20" s="1"/>
  <c r="O3" i="20"/>
  <c r="O10" i="20" s="1"/>
  <c r="O61" i="20" s="1"/>
  <c r="M10" i="20"/>
  <c r="M61" i="20" s="1"/>
  <c r="W33" i="1" l="1"/>
  <c r="AG33" i="1" s="1"/>
  <c r="AI33" i="1" s="1"/>
  <c r="W34" i="1"/>
  <c r="Y34" i="1" s="1"/>
  <c r="W32" i="1"/>
  <c r="AG32" i="1" l="1"/>
  <c r="AI32" i="1" s="1"/>
  <c r="AK152" i="1"/>
  <c r="AK156" i="1" s="1"/>
  <c r="AK158" i="1" s="1"/>
  <c r="AG34" i="1"/>
  <c r="AI34" i="1" s="1"/>
  <c r="Y33" i="1"/>
  <c r="W152" i="1"/>
  <c r="Y32" i="1"/>
  <c r="AM152" i="1" s="1"/>
  <c r="W69" i="1"/>
  <c r="K14" i="20" l="1"/>
  <c r="K23" i="20" s="1"/>
  <c r="K62" i="20" s="1"/>
  <c r="M14" i="20"/>
  <c r="I23" i="20"/>
  <c r="I62" i="20" s="1"/>
  <c r="Y69" i="1"/>
  <c r="Y152" i="1"/>
  <c r="M23" i="20" l="1"/>
  <c r="M62" i="20" s="1"/>
  <c r="O14" i="20"/>
  <c r="O23" i="20" s="1"/>
  <c r="O62" i="20" s="1"/>
  <c r="O66" i="20" s="1"/>
  <c r="AG91" i="1"/>
  <c r="AI91" i="1" s="1"/>
  <c r="W101" i="1"/>
  <c r="W147" i="1" s="1"/>
  <c r="W154" i="1"/>
  <c r="W156" i="1" s="1"/>
  <c r="W158" i="1" s="1"/>
  <c r="Y91" i="1" l="1"/>
  <c r="AM154" i="1" s="1"/>
  <c r="AM156" i="1" s="1"/>
  <c r="AM158" i="1" s="1"/>
  <c r="M63" i="20"/>
  <c r="M66" i="20" s="1"/>
  <c r="N63" i="20"/>
  <c r="N66" i="20" s="1"/>
  <c r="I63" i="20"/>
  <c r="J63" i="20"/>
  <c r="K63" i="20"/>
  <c r="J65" i="20"/>
  <c r="I65" i="20"/>
  <c r="K65" i="20"/>
  <c r="K66" i="20" s="1"/>
  <c r="I66" i="20" l="1"/>
  <c r="J66" i="20"/>
  <c r="Y101" i="1"/>
  <c r="Y154" i="1"/>
  <c r="Y156" i="1" s="1"/>
  <c r="Y158" i="1" s="1"/>
  <c r="Y147" i="1" l="1"/>
</calcChain>
</file>

<file path=xl/comments1.xml><?xml version="1.0" encoding="utf-8"?>
<comments xmlns="http://schemas.openxmlformats.org/spreadsheetml/2006/main">
  <authors>
    <author>Elkin Fernando S.T.</author>
  </authors>
  <commentList>
    <comment ref="AJ15" authorId="0">
      <text>
        <r>
          <rPr>
            <b/>
            <sz val="9"/>
            <color indexed="81"/>
            <rFont val="Tahoma"/>
            <family val="2"/>
          </rPr>
          <t>Elkin Fernando S.T.:</t>
        </r>
        <r>
          <rPr>
            <sz val="9"/>
            <color indexed="81"/>
            <rFont val="Tahoma"/>
            <family val="2"/>
          </rPr>
          <t xml:space="preserve">
REVISAR EXCD. FEA.</t>
        </r>
      </text>
    </comment>
    <comment ref="AX15" authorId="0">
      <text>
        <r>
          <rPr>
            <b/>
            <sz val="9"/>
            <color indexed="81"/>
            <rFont val="Tahoma"/>
            <family val="2"/>
          </rPr>
          <t>Elkin Fernando S.T.:</t>
        </r>
        <r>
          <rPr>
            <sz val="9"/>
            <color indexed="81"/>
            <rFont val="Tahoma"/>
            <family val="2"/>
          </rPr>
          <t xml:space="preserve">
REVISAR EXCD. FEA.</t>
        </r>
      </text>
    </comment>
  </commentList>
</comments>
</file>

<file path=xl/comments2.xml><?xml version="1.0" encoding="utf-8"?>
<comments xmlns="http://schemas.openxmlformats.org/spreadsheetml/2006/main">
  <authors>
    <author>Carlos Galindo</author>
  </authors>
  <commentList>
    <comment ref="C112" authorId="0">
      <text>
        <r>
          <rPr>
            <b/>
            <sz val="9"/>
            <color indexed="81"/>
            <rFont val="Tahoma"/>
            <charset val="1"/>
          </rPr>
          <t>Carlos Galindo:</t>
        </r>
        <r>
          <rPr>
            <sz val="9"/>
            <color indexed="81"/>
            <rFont val="Tahoma"/>
            <charset val="1"/>
          </rPr>
          <t xml:space="preserve">
Actividades Culturales de todas las Sedes.</t>
        </r>
      </text>
    </comment>
    <comment ref="C115" authorId="0">
      <text>
        <r>
          <rPr>
            <b/>
            <sz val="9"/>
            <color indexed="81"/>
            <rFont val="Tahoma"/>
            <charset val="1"/>
          </rPr>
          <t>Carlos Galindo:</t>
        </r>
        <r>
          <rPr>
            <sz val="9"/>
            <color indexed="81"/>
            <rFont val="Tahoma"/>
            <charset val="1"/>
          </rPr>
          <t xml:space="preserve">
 Apoyo a actividades de clima organizacional, docentes, estudiantes y administrativos en las Sedes</t>
        </r>
      </text>
    </comment>
  </commentList>
</comments>
</file>

<file path=xl/sharedStrings.xml><?xml version="1.0" encoding="utf-8"?>
<sst xmlns="http://schemas.openxmlformats.org/spreadsheetml/2006/main" count="2826" uniqueCount="1054">
  <si>
    <t>RECURSOS ASIGNADOS</t>
  </si>
  <si>
    <t>RECURSO EJECUTADO</t>
  </si>
  <si>
    <t>SALDO</t>
  </si>
  <si>
    <t>META DE PRODUCTO</t>
  </si>
  <si>
    <t>TOTAL TRIMESTRE</t>
  </si>
  <si>
    <t>EFICIENCIA</t>
  </si>
  <si>
    <t>EFICACIA</t>
  </si>
  <si>
    <t>EFECTIVIDAD</t>
  </si>
  <si>
    <t>SOPORTES DE ACCIONES REALIZADAS</t>
  </si>
  <si>
    <t>SUBSISTEMA</t>
  </si>
  <si>
    <t>PROYECTO</t>
  </si>
  <si>
    <t>SIGLA</t>
  </si>
  <si>
    <t>ACCIONES</t>
  </si>
  <si>
    <t>RUBRO</t>
  </si>
  <si>
    <t>RESPONSABLE</t>
  </si>
  <si>
    <t>META 2017</t>
  </si>
  <si>
    <t>UNIDAD DE MEDIDA</t>
  </si>
  <si>
    <t>En millones de pesos</t>
  </si>
  <si>
    <t>#</t>
  </si>
  <si>
    <t>%</t>
  </si>
  <si>
    <t>EN PORCENTAJE</t>
  </si>
  <si>
    <t>FORMACION</t>
  </si>
  <si>
    <t>SF-PY1. Identidad con la Teleología Institucional.</t>
  </si>
  <si>
    <t>SF-PY1.1</t>
  </si>
  <si>
    <t>Actividades de Inducción y Reinducción con docentes, estudiantes y Administrativos para promover el conocimiento de la Teleología.</t>
  </si>
  <si>
    <t>V.ACADEMICA
FACECO</t>
  </si>
  <si>
    <t>SF-PY1.2</t>
  </si>
  <si>
    <t>Actividades para promover la Apropiación de la teleología Institucional. (Misión, La Visión, el Proyecto Educativo Institucional PEU).</t>
  </si>
  <si>
    <t>V. ACADÉMICA</t>
  </si>
  <si>
    <t>SF-PY1.3</t>
  </si>
  <si>
    <t>Promoción de la imagen corporativa institucional, portafolio de servicios-oferta académica.</t>
  </si>
  <si>
    <t>V.ACADEMICA</t>
  </si>
  <si>
    <t>SF-PY2. Creación de nueva Oferta Académica en las Sedes.</t>
  </si>
  <si>
    <t>SF-PY2.1</t>
  </si>
  <si>
    <t>Apoyo a la realización de estudios y diseños para la creación de programas de pregrado y postgrados.</t>
  </si>
  <si>
    <t xml:space="preserve">
V.ACADEMICA
FACECO
F.EDUCACION
F.C.J.P.
</t>
  </si>
  <si>
    <t>SF-PY3. Desarrollo Profesoral Permanente en lo Pedagógico, Disciplinar y Profesional.</t>
  </si>
  <si>
    <t>SF-PY3.1</t>
  </si>
  <si>
    <t xml:space="preserve"> Escuela de Formación Pedagógica
(formación y acompañamiento en  Pedagogía, alcance y materialización del PEU y  labor de consejerías) Graduación y Permanencia.</t>
  </si>
  <si>
    <t>DOCENTES</t>
  </si>
  <si>
    <t>SF-PY3.2</t>
  </si>
  <si>
    <t>Capacitación Individual Docente.</t>
  </si>
  <si>
    <t xml:space="preserve">
V.ACADEMICA
F. INGENIERIA
FACECO
F.EDUCACION
</t>
  </si>
  <si>
    <t>SF-PY3.3</t>
  </si>
  <si>
    <t xml:space="preserve"> Interlingua para Docentes.</t>
  </si>
  <si>
    <t>SF-PY3.4</t>
  </si>
  <si>
    <t>Oferta de Cursos Intersemestrales sobre áreas de conocimiento y culturas latinoaméricanas,  formación para la democracia.</t>
  </si>
  <si>
    <t>FACULTADES</t>
  </si>
  <si>
    <t>SF-PY3.5</t>
  </si>
  <si>
    <t>Estudio de Factibilidad Proyecto Inmersión Total en Casa.</t>
  </si>
  <si>
    <t>SF-PY4.  Autoevalución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</si>
  <si>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</si>
  <si>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</si>
  <si>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FACECO 
F.EDUCACION
F.C.J.P.</t>
  </si>
  <si>
    <t>PROGRAMAS</t>
  </si>
  <si>
    <t>SF-PY4.2</t>
  </si>
  <si>
    <t>Aprestamiento en Lectura Crítica y Matemática- Plan de Fomento a la Calidad-FASE I-Permanencia y graduación.</t>
  </si>
  <si>
    <t>ESTUDIANTES</t>
  </si>
  <si>
    <t>SF-PY4.3</t>
  </si>
  <si>
    <t>Fortalecimiento de las Competencias Genéricas Saber Pro- Plan de Fomento a la Calidad-FASE I -Permanencia y graduación.</t>
  </si>
  <si>
    <t>SF-PY4.4</t>
  </si>
  <si>
    <t>Consejerías Académicas -Plan de Fomento a la Calidad-FASE I-Permanencia y graduación.</t>
  </si>
  <si>
    <t>PERSONAS</t>
  </si>
  <si>
    <t>SF-PY4.5</t>
  </si>
  <si>
    <t>Apoyo a la Politica de Inclusión-Permanencia y graduación.</t>
  </si>
  <si>
    <t>SF-PY5.  Acreditación de Alta Calidad de la Universidad</t>
  </si>
  <si>
    <t>SF-PY5.1</t>
  </si>
  <si>
    <t>Funcionamiento de la Unidad de Apoyo a los Procesos de Autoevaluación  y Acreditación Institucional.</t>
  </si>
  <si>
    <t>SF-PY5.2</t>
  </si>
  <si>
    <t>Procesos de Autoevaluación y Acreditación Institucional; Capacitaciones  y encuentros para apoyo con Universidades del país.</t>
  </si>
  <si>
    <t>SF-PY5.3</t>
  </si>
  <si>
    <t>Creación de material educativo en formato digital.</t>
  </si>
  <si>
    <t>FACECO</t>
  </si>
  <si>
    <t>SF-PY6. Relevo Generacional con Excelencia Académica.</t>
  </si>
  <si>
    <t>SF-PY6.1</t>
  </si>
  <si>
    <t>Convocatoria Banco Docentes Ocasionales 2017.</t>
  </si>
  <si>
    <t>SF-PY7. Fortalecimiento de los Vínculos Universidad - Egresados.</t>
  </si>
  <si>
    <t>SF-PY7.1</t>
  </si>
  <si>
    <t>Portal Laboral, fortalecimiento del vínculo empresa-universidad-estado.</t>
  </si>
  <si>
    <t>SF-PY7.2</t>
  </si>
  <si>
    <t>Programa de Seguimiento a Graduados, Apoyo a procesos de educación continuada.</t>
  </si>
  <si>
    <t>V.ACADEMICA
FACECO
F. EDUCACIÓN</t>
  </si>
  <si>
    <t>SF-PY7.3</t>
  </si>
  <si>
    <t>Mejoramiento de la infraestructura tecnologica para el segumiento a egresados.</t>
  </si>
  <si>
    <t>TOTAL SUBSISTEMA DE FORMACION</t>
  </si>
  <si>
    <t>INVESTIGACION</t>
  </si>
  <si>
    <t>SI-PY1.  Fortalecimiento de las capacidades de investigación, desarrollo e innovación.</t>
  </si>
  <si>
    <t>SI-PY1.1</t>
  </si>
  <si>
    <t>Adquisición  de equipos de laboratorio para investigación.</t>
  </si>
  <si>
    <t>VIPS</t>
  </si>
  <si>
    <t>EQUIPOS</t>
  </si>
  <si>
    <t>SI-PY1.2</t>
  </si>
  <si>
    <t xml:space="preserve"> Adquisición y renovación de  licencias software Y bases de datos especializadas  para  actividades de investigaciòn.</t>
  </si>
  <si>
    <t>LICENCIAS</t>
  </si>
  <si>
    <t>SI-PY1.3</t>
  </si>
  <si>
    <t>Apoyo a la formación de alto nivel (Maestrias, doctorados, posdoctorados).</t>
  </si>
  <si>
    <t>VIPS
FACECO</t>
  </si>
  <si>
    <t>TESIS O NUMERO DE DOCENTES APOYADOS</t>
  </si>
  <si>
    <t>SI-PY1.4</t>
  </si>
  <si>
    <t>Fortalecimiento de las capacidades investigativas para la acreditación Institucional</t>
  </si>
  <si>
    <t>PROGRAMA DE PEDAGOGÍA PARA LA INVESTIGACIÓN</t>
  </si>
  <si>
    <t>SI-PY1.5</t>
  </si>
  <si>
    <t>Fortalecimiento  de las capacidades investigativas de grupos de investigación en modalidad Proyectos.</t>
  </si>
  <si>
    <t>EJECUCIÓN DE 20 PROYECTOS DE INVESTIGACIÓN</t>
  </si>
  <si>
    <t>SI-PY2.  Calidad Académica y formación en Investigación.</t>
  </si>
  <si>
    <t>SI-PY2.1</t>
  </si>
  <si>
    <t>Formulación y ejecución de dos talleres para reformular dos currículos.</t>
  </si>
  <si>
    <t>TALLERES</t>
  </si>
  <si>
    <t>SI-PY2.2</t>
  </si>
  <si>
    <t>Taller con experto en Gestión  y apropiación social del conocimiento.</t>
  </si>
  <si>
    <t xml:space="preserve">VIPS </t>
  </si>
  <si>
    <t xml:space="preserve">TALLER </t>
  </si>
  <si>
    <t>SI-PY2.3</t>
  </si>
  <si>
    <t>Acciones  de sensibilización sobre propuestas de investigación en el marco del programa ONDAS.</t>
  </si>
  <si>
    <t>SI-PY2.4</t>
  </si>
  <si>
    <t>Apoyo al desarrollo de los proyectos formulados por los grupos, en el marco del convenio ONDAS.</t>
  </si>
  <si>
    <t>PROYECTOS</t>
  </si>
  <si>
    <t>SI-PY2.5</t>
  </si>
  <si>
    <t>Apoyo a la formulación, ejecución y divulgación de eventos académicos.</t>
  </si>
  <si>
    <t>VIPS 
F.C.J.P.</t>
  </si>
  <si>
    <t>EVENTOS</t>
  </si>
  <si>
    <t>SI-PY2.6</t>
  </si>
  <si>
    <t>Apoyo a docentes para  realizar ponencias en eventos nacionales e internacionales.</t>
  </si>
  <si>
    <t>VIPS 
FACECO</t>
  </si>
  <si>
    <t>PARTICIPACIÓN EN EVENTOS INVESTIGATIVOS</t>
  </si>
  <si>
    <t>SI-PY2.7</t>
  </si>
  <si>
    <t>Consolidación de grupos de Investigación.</t>
  </si>
  <si>
    <t>GRUPOS DE INVESTIGACIÓN CATEGORIZADOS</t>
  </si>
  <si>
    <t>SI-PY2.8</t>
  </si>
  <si>
    <t>Capacitación y participación de la Facultad de Ciencias Jurídicas y Políticas en eventos de formación.</t>
  </si>
  <si>
    <t>FCJP</t>
  </si>
  <si>
    <t>SI-PY2.9</t>
  </si>
  <si>
    <t>Apoyo al desarrollo de los Doctorados: Agroindustria y Desarrollo Agricola Sostenible;  Educación y Cultura Ambiental; en Ciencias de la Salud.</t>
  </si>
  <si>
    <t xml:space="preserve">VIPS Y  COORDINADORES </t>
  </si>
  <si>
    <t>FINANCIACIÓN DE 3 PROGRAMAS DE DOCTORADO</t>
  </si>
  <si>
    <t>SI-PY3. Calidad Académica y formación a través de la Investigación</t>
  </si>
  <si>
    <t>SI-PY3.1</t>
  </si>
  <si>
    <t>Financiación de proyectos de investigación en modalidad trabajos de grado.</t>
  </si>
  <si>
    <t>SI-PY3.2</t>
  </si>
  <si>
    <t>Financiación de proyectos ejecutados por semilleros de investigación.</t>
  </si>
  <si>
    <t>VIPS
F.C.EXACTAS</t>
  </si>
  <si>
    <t>SI-PY3.3</t>
  </si>
  <si>
    <t>Financiar la vinculación de  jóvenes investigadores.</t>
  </si>
  <si>
    <t>SI-PY4.  Calidad Académica y ejecución de Investigación.</t>
  </si>
  <si>
    <t>SI-PY4.1</t>
  </si>
  <si>
    <t>Financiar proyectos de investigación de convocatorias internas  y externas.</t>
  </si>
  <si>
    <t>SI-PY4.2</t>
  </si>
  <si>
    <t>Apoyo para la consolidación de grupos de investigación.</t>
  </si>
  <si>
    <t>VIPS
F. INGENIERIA
F.EDUCACIÓN</t>
  </si>
  <si>
    <t>NUEVOS GRUPOS DE INVESTIGACIÓN CATEGORIZADOS</t>
  </si>
  <si>
    <t>SI-PY5. Calidad Académica y gestión de Investigación.</t>
  </si>
  <si>
    <t>SI-PY5.1</t>
  </si>
  <si>
    <t>Convenios cofinanciados.</t>
  </si>
  <si>
    <t>CONVENIOS</t>
  </si>
  <si>
    <t>SI-PY5.2</t>
  </si>
  <si>
    <t>Gestión de proyectos de investigación en cooperación  regional nacional y/o internacional.</t>
  </si>
  <si>
    <t>BANCO DE PROYECTOS</t>
  </si>
  <si>
    <t>SI-PY5.3</t>
  </si>
  <si>
    <t>Divulgación del conocimiento.</t>
  </si>
  <si>
    <t>BOLETÍN DE LA VIPS</t>
  </si>
  <si>
    <t>SI-PY6.  Articulación del Sistema Integrado de Información (TICS).</t>
  </si>
  <si>
    <t>SI-PY6.1</t>
  </si>
  <si>
    <t>Diseño de aplicativos digitales para divulgación investigación.</t>
  </si>
  <si>
    <t>SI-PY6.2</t>
  </si>
  <si>
    <t>Elaboración y publicación del catálogo y portafolio de productos  Editorial Universidad Surcolombiana.</t>
  </si>
  <si>
    <r>
      <rPr>
        <sz val="9"/>
        <color rgb="FFFF0000"/>
        <rFont val="Calibri"/>
        <family val="2"/>
        <scheme val="minor"/>
      </rPr>
      <t xml:space="preserve">REPOSITORIO (1), </t>
    </r>
    <r>
      <rPr>
        <sz val="9"/>
        <rFont val="Calibri"/>
        <family val="2"/>
        <scheme val="minor"/>
      </rPr>
      <t>IMPACTO EN EL ENTORNO - VISIBILIDAD, NUMERO DE VISITAS QUE SE HACEN AL REPOSITORIO</t>
    </r>
  </si>
  <si>
    <t>SI-PY6.3</t>
  </si>
  <si>
    <t xml:space="preserve">Adquisión gestores bibliográficos. </t>
  </si>
  <si>
    <t>LICENCIAS VITALICIAS EDNOTE</t>
  </si>
  <si>
    <t>SI-PY6.4</t>
  </si>
  <si>
    <t>Apoyo para la gestión de la investigación  a traves de membresias (ASEUC, EULAC, ABEC, DOI).</t>
  </si>
  <si>
    <t>6 DOI PARA 6 REVISTAS (ES COMO LA CEDULA EN LA WEB DE LAS REVISTAS), 1 MEMBRESIA ASEUC</t>
  </si>
  <si>
    <t>YA SE CUMPLIO DOI YA SE TIENEN PARA 6 REVISTAS, LA ASEUC YA SE PAGÓ POR OTRO RUBRO</t>
  </si>
  <si>
    <t>SI-PY7.  Evaluación, dotación y consolidación de los Centros de Documentación, archivística y bases de datos.</t>
  </si>
  <si>
    <t>SI-PY7.1</t>
  </si>
  <si>
    <t>Adquisión  base datos especializadas para investigación.</t>
  </si>
  <si>
    <t>SI-PY7.2</t>
  </si>
  <si>
    <t>Apoyo a centro de documentación archivistica.</t>
  </si>
  <si>
    <t>TOTALIDAD DEL ARCHIVO, DOS PROCESOS</t>
  </si>
  <si>
    <t>YA SE HIZO, SE ORGANIZO EL ARCHIVO DE INVESTIGACIÓN Y PROYECCIÓN SOCIAL</t>
  </si>
  <si>
    <t>SI-PY8.  Creación y Fortalecimiento de Centros, Institutos de investigación, desarrollo y vigilancia Tecnológica e Innovación.</t>
  </si>
  <si>
    <t>SI-PY8.1</t>
  </si>
  <si>
    <t>Apoyo a la creación y fortalecimiento de centros de investigación y vigilancia tecnológica e innovación.</t>
  </si>
  <si>
    <t>CENTRO TECNOLOGICO DE  LAS TICS</t>
  </si>
  <si>
    <t>SI-PY8.2</t>
  </si>
  <si>
    <t>Apoyo a Proyectos de Investigación ejecutados por los Centros de Desarrollo Tecnológicos.</t>
  </si>
  <si>
    <t>F. SALUD</t>
  </si>
  <si>
    <t>SI-PY9.  Articulación y fortalecimiento de las publicaciones Científicas  y Académicas.</t>
  </si>
  <si>
    <t>SI-PY9.1</t>
  </si>
  <si>
    <t xml:space="preserve">Evaluación de artículos, corrección de estilo, diseño, diagramación, impresión y publicación de revistas institucionales. </t>
  </si>
  <si>
    <t>VIPS
F. INGENIERIA
FACECO</t>
  </si>
  <si>
    <t>SI-PY9.2</t>
  </si>
  <si>
    <t xml:space="preserve">Capacitación a editores de revistas científicas;  Taller escritura de artìculos cientìficos. </t>
  </si>
  <si>
    <t>CURSO</t>
  </si>
  <si>
    <t>SI-PY9.3</t>
  </si>
  <si>
    <t xml:space="preserve">Evaluación, corrección estilo, diagramación  y publicación de libros en las diferentes modalidades.   </t>
  </si>
  <si>
    <t>SI-PY9.4</t>
  </si>
  <si>
    <t>Gestión para la indexación de revistas institucionales.</t>
  </si>
  <si>
    <t>SE ESTA GESTIONANDO LA INDEXACIÓN DE LAS 6 REVISTAS DE LAS NUEVAS NORMAS PUBLINDEX</t>
  </si>
  <si>
    <t>SI-PY9.5</t>
  </si>
  <si>
    <t>Apoyo a la consolidación de la editorial Surcolombiana y revistas institucionales.</t>
  </si>
  <si>
    <t>REVISTAS (SE ADQUIRIERON LOS DOI Y LA PLATAFORMA OJS</t>
  </si>
  <si>
    <t>SI-PY9.6</t>
  </si>
  <si>
    <t>Fortalecimiento, consolidación y mejoramiento de la calidad editorial de la Revista Jurídica Piélagus.</t>
  </si>
  <si>
    <t>F.C.J.P.</t>
  </si>
  <si>
    <t>REVISTA</t>
  </si>
  <si>
    <t>TOTAL SUBSISTEMA: DE INVESTIGACIÓN</t>
  </si>
  <si>
    <t>PROYECCION SOCIAL</t>
  </si>
  <si>
    <t>SP-PY1.  Internacionalización Académica Curricular y Administrativa.</t>
  </si>
  <si>
    <t>SP-PY1.1</t>
  </si>
  <si>
    <t>Apoyo a la movilidad académica de docentes, estudiantes y personal administrativo y expertos invitados.</t>
  </si>
  <si>
    <t>VIPS
F. SALUD
FACECO
F. EDUCACIÓN
FCJP</t>
  </si>
  <si>
    <t>SP-PY1.2</t>
  </si>
  <si>
    <t>Apoyo a la internacionalización de la investigación y la proyección social.</t>
  </si>
  <si>
    <t xml:space="preserve">
F. SALUD
FACECO</t>
  </si>
  <si>
    <t>APOYOS (PROFESORES QUE VAN Y HACEN LAS PONENCIAS)</t>
  </si>
  <si>
    <t>SP-PY1.3</t>
  </si>
  <si>
    <t>Apoyo a los procesos y fortalecimiento de alianzas académico-administrativas entre la Universidad y organismos públicos y privados.</t>
  </si>
  <si>
    <t>PARTICIPACION ASAMBLEA VISIBLE ( 3 VECES AL AÑO QUE SE HACE LA ASAMBLEA VISIBLE)</t>
  </si>
  <si>
    <t>SP-PY2.  Regionalización de la USCO</t>
  </si>
  <si>
    <t>SP-PY2.1</t>
  </si>
  <si>
    <t>Apoyo y gestión en acciones, proyectos y eventos para regionalización.</t>
  </si>
  <si>
    <t>VIPS
F. SALUD</t>
  </si>
  <si>
    <t>SP-PY3. Reformulación y fortalecimiento de las modalidades y formas de Proyección Social.</t>
  </si>
  <si>
    <t>SP-PY3.1</t>
  </si>
  <si>
    <t>Macroproyectos de Proyección social cofinanciados por la Universidad Surcolombiana.</t>
  </si>
  <si>
    <t>MACROPROYECTOS</t>
  </si>
  <si>
    <t>SP-PY3.2</t>
  </si>
  <si>
    <t>Proyectos solidarios de menor cuantía cofinanciados  por la Universidad Surcolombiana.</t>
  </si>
  <si>
    <t>SP-PY3.3</t>
  </si>
  <si>
    <t>Apoyo logístico a proyectos  de Responsabilidad Social Universitaria.</t>
  </si>
  <si>
    <t>F. INGENIERIA
F.EDUCACIÓN</t>
  </si>
  <si>
    <t>PROYECTOS RSU (ACTIVIDADES )</t>
  </si>
  <si>
    <t>SP-PY3.4</t>
  </si>
  <si>
    <t>Apoyos a la realización y participación en  eventos de proyección social.</t>
  </si>
  <si>
    <t>SP-PY3.5</t>
  </si>
  <si>
    <t>Apoyos financieros a la suscripción de convenios interinstitucionales.</t>
  </si>
  <si>
    <t>SP-PY3.6</t>
  </si>
  <si>
    <t>Apoyo a la gestión academico-administrativa de la Proyección Social.</t>
  </si>
  <si>
    <t>F. SALUD
F- INGENIERÍA
FACECO
F. EDUCACIÓN
FCJP</t>
  </si>
  <si>
    <t>SP-PY3.7</t>
  </si>
  <si>
    <t>Apoyos cursos de formación continuada a egresados de las sedes Neiva, Garzón, Pitalito y la Plata.</t>
  </si>
  <si>
    <t>SP-PY3.8</t>
  </si>
  <si>
    <t>Apoyo anual para el fortalecimiento y consolidación del Programa de Gestión Tecnológica.</t>
  </si>
  <si>
    <t>SP-PY4.  Estructuración y desarrollo Unidades de Atención Especializada y de Emprendimiento e Innovación Institucional.</t>
  </si>
  <si>
    <t>SP-PY4.1</t>
  </si>
  <si>
    <t>Implementación y operacionalización de la Unidad de Emprendimiento e Innovación.</t>
  </si>
  <si>
    <t>SP-PY5.  Consolidación de la Alianza Estratégica Estado-Universidad-Empresa-Ciudadanía.</t>
  </si>
  <si>
    <t>SP-PY5.1</t>
  </si>
  <si>
    <t>Proyectos Universidad-Empresa-Estado-Sociedad, financiados y cofinanciados por la Universidad Surcolombiana.</t>
  </si>
  <si>
    <t>SP-PY5.2</t>
  </si>
  <si>
    <t>Apoyo a la cofinanciación de proyectos de la Alianza Universidad-Empresa-Estado-Sociedad.</t>
  </si>
  <si>
    <t>SP-PY6. Estructuración y Desarrollo de la Agenda Social Regional.</t>
  </si>
  <si>
    <t>SP-PY6.1</t>
  </si>
  <si>
    <t>Apoyo a la gestión de proyectos de agenda social.</t>
  </si>
  <si>
    <t>SP-PY6.2</t>
  </si>
  <si>
    <t>Creación y puesta en funcionamiento del Observatorio Regional de Políticas Públicas.</t>
  </si>
  <si>
    <t>SP-PY6.3</t>
  </si>
  <si>
    <t>Creación y puesta en funcionamiento del Instituto de Estudios Surcolombianos.</t>
  </si>
  <si>
    <t>SP-PY6.4</t>
  </si>
  <si>
    <t>SP-PY7.  Articulación de la Educación Superior con la Educación formal, el trabajo y el desarrollo humano.</t>
  </si>
  <si>
    <t>SP-PY7.1</t>
  </si>
  <si>
    <t>Apoyo a los procesos de integración de la Educación Superior con la Educación Media, el trabajo y el desarrollo humano.</t>
  </si>
  <si>
    <t>SP-PY7.2</t>
  </si>
  <si>
    <t>Programas de formación para el trabajo y el desarrollo humano con procesos de interacción de la Educación Superior con la Educación Media.</t>
  </si>
  <si>
    <t>PROGRAMA</t>
  </si>
  <si>
    <t>SP-PY8. Fortalecimiento del sistema de comunicación e información institucional.</t>
  </si>
  <si>
    <t>SP-PY8.1</t>
  </si>
  <si>
    <t>Elaboracion y puesta en marcha del  Plan estratégico de comunicaciones.</t>
  </si>
  <si>
    <t>PLA ESTRATEGICO, YA SE HIZO YA ESTA APORBADA LA POLITICA</t>
  </si>
  <si>
    <t>SP-PY8.2</t>
  </si>
  <si>
    <t>Renovación Hosting y  elaboración de revista para comunicaciones y divulgación de actividades resultado de proyección social.</t>
  </si>
  <si>
    <t>SP-PY8.3</t>
  </si>
  <si>
    <t>Fortalecimiento de medios audiovisuales institucionales.</t>
  </si>
  <si>
    <t>CONTRATACION DE APOYO ADMINISTRATIVO PARA LA UNIDAD DE MEDIOS</t>
  </si>
  <si>
    <t>SP-PY8.4</t>
  </si>
  <si>
    <t>Elaboración de prospectos, revistas e instructivos-publicidad.</t>
  </si>
  <si>
    <t>F. SALUD
F. INGENIERÍA
F. EDUCACIÓN
F.C.J.P</t>
  </si>
  <si>
    <t>NUMERO DE PIEZAS DE DIVULGACIÓN</t>
  </si>
  <si>
    <t>F. SALUD
F. EDUCACIÓN
F.INGENIERIA
F.C. EXACTAS
F.C.J.P.</t>
  </si>
  <si>
    <t>TOTAL SUBSISTEMA DE PROYECCION SOCIAL</t>
  </si>
  <si>
    <t>BIENESTAR UNIVERSITARIO</t>
  </si>
  <si>
    <t>SB-PY1.   Universidad Saludable.</t>
  </si>
  <si>
    <t>SB-PY1.1</t>
  </si>
  <si>
    <t>Prestación servicio médico a estudiantes en las Sedes</t>
  </si>
  <si>
    <t>BIENESTAR</t>
  </si>
  <si>
    <t>SERVICIOS</t>
  </si>
  <si>
    <t>SB-PY1.2</t>
  </si>
  <si>
    <t>Prestación servicio odontólogico a estudiantes en las Sedes</t>
  </si>
  <si>
    <t>SB-PY1.3</t>
  </si>
  <si>
    <t>Prestación servicio Psicológico a estudiantes en las Sedes</t>
  </si>
  <si>
    <t>SB-PY1.4</t>
  </si>
  <si>
    <t>Apoyo a actividades de clima organizacional, docentes, estudiantes y administrativos en las Sedes.</t>
  </si>
  <si>
    <t xml:space="preserve">
F.INGENIERIA</t>
  </si>
  <si>
    <t>SB-PY1.5</t>
  </si>
  <si>
    <t>Remisiones Psiquiatra</t>
  </si>
  <si>
    <t>SB-PY1.6</t>
  </si>
  <si>
    <t>USCO saludable.</t>
  </si>
  <si>
    <t>BENEFICIARIOS</t>
  </si>
  <si>
    <t>SB-PY1.7</t>
  </si>
  <si>
    <t>Proyecto de Inclusión y atención de la población con diversidad funcional en la USCO.</t>
  </si>
  <si>
    <t>Caracterización Población</t>
  </si>
  <si>
    <t>Apoyo tecnológico y académico</t>
  </si>
  <si>
    <t>Acompañamientos a estudiantes</t>
  </si>
  <si>
    <t>Talleres de Sensibilización</t>
  </si>
  <si>
    <t>SB-PY2.  Recreación y Deportes con responsabilidad y compromiso.</t>
  </si>
  <si>
    <t>SB-PY2.1</t>
  </si>
  <si>
    <t>Actividades deportivas de todas las Sedes.</t>
  </si>
  <si>
    <t>ACTIVIDADES</t>
  </si>
  <si>
    <t>SB-PY3. Cultura con responsabilidad y compromiso.</t>
  </si>
  <si>
    <t>SB-PY3.1</t>
  </si>
  <si>
    <t>Puestas Culturales en escena de todas las sedes</t>
  </si>
  <si>
    <t xml:space="preserve">
BIENESTAR
F.SALUD
FACECO
</t>
  </si>
  <si>
    <t xml:space="preserve">TALLERES </t>
  </si>
  <si>
    <t>GRUPOS</t>
  </si>
  <si>
    <t>SB-PY4. Desarrollo Humano con responsabilidad y compromiso.</t>
  </si>
  <si>
    <t>SB-PY4.1</t>
  </si>
  <si>
    <t xml:space="preserve"> Apoyo a actividades de clima organizacional, docentes, estudiantes y administrativos en las Sedes</t>
  </si>
  <si>
    <t xml:space="preserve">
FACECO
F. EDUCACION
BIENESTAR
</t>
  </si>
  <si>
    <t>Eventos convivencia, integración y reconocimiento</t>
  </si>
  <si>
    <t>SB-PY5.  Desarrollo Socio-Económico con responsabilidad y compromiso.</t>
  </si>
  <si>
    <t>SB-PY5.1</t>
  </si>
  <si>
    <t>Meriendas Pitalito</t>
  </si>
  <si>
    <t>Meriendas Garzón</t>
  </si>
  <si>
    <t>Meriendas La Plata</t>
  </si>
  <si>
    <t>SB-PY5.2</t>
  </si>
  <si>
    <t>Atención a población estudiantil en situación de extrema vulnerabilidad en las Sedes.</t>
  </si>
  <si>
    <t>ESTUDIOS</t>
  </si>
  <si>
    <t>SB-PY5.3</t>
  </si>
  <si>
    <t>Vinculación de estudiantes en procesos institucionales.</t>
  </si>
  <si>
    <t>SB-PY6.  Promoción de la Permanencia y Graduación estudiantil en la Usco.</t>
  </si>
  <si>
    <t>SB-PY6.1</t>
  </si>
  <si>
    <t>Permanencia y graduación estudiantil.</t>
  </si>
  <si>
    <t>TOTAL SUBSISTEMA BIENESTAR UNIVERSITARIO</t>
  </si>
  <si>
    <t>ADMINISTRATIVO</t>
  </si>
  <si>
    <t>SA-PY2.a  Construcción y mantenimiento de las Sedes.</t>
  </si>
  <si>
    <t>SA-PY2a.1</t>
  </si>
  <si>
    <t>Construcción de infraestructura física en todas las Sedes.</t>
  </si>
  <si>
    <t>SA-PY2a.2</t>
  </si>
  <si>
    <t>Adecuaciones, mantenimientos y mejoras en infraestructura de todas las sedes.</t>
  </si>
  <si>
    <t>VIC.ADTIVA.
F. SALUD
F.INGENIERIA
FACECO
F.C.J.P.</t>
  </si>
  <si>
    <t>SA-PY2a.3</t>
  </si>
  <si>
    <t>Avalúos, estudios y diseños de obras civiles varias.</t>
  </si>
  <si>
    <t>VIC.ADTIVA.</t>
  </si>
  <si>
    <t>SA-PY2.b  Desarrollo, dotación y Mantenimiento de las Sedes.</t>
  </si>
  <si>
    <t>SA-PY2b.1</t>
  </si>
  <si>
    <t>Dotación de equipos, accesorios, reactivos e insumos para  laboratorios de todas las Sedes.</t>
  </si>
  <si>
    <t>VIC.ADTIVA.
F.INGENIERIA</t>
  </si>
  <si>
    <t>RECURSOS INVERTIDOS $</t>
  </si>
  <si>
    <t>SA-PY2b.2</t>
  </si>
  <si>
    <t>Dotación de muebles y equipos de oficinas para todas las Sedes.</t>
  </si>
  <si>
    <t>VIC.ADTIVA.
F. SALUD 
FACECO
F.EDUCACIÓN
F.C.S.H.
F.C.J.P.</t>
  </si>
  <si>
    <t>SA-PY2b.3</t>
  </si>
  <si>
    <t>Adquisición bibliografía.</t>
  </si>
  <si>
    <t xml:space="preserve">
VIC.ADTIVA.
F. SALUD
F. INGENIERÍA
FACECO
F. EDUCACIÓN
F.C.S.H
F.C.J.P.
</t>
  </si>
  <si>
    <t>SA-PY2b.4</t>
  </si>
  <si>
    <t xml:space="preserve"> Mantenimiento de Equipos de Laboratorio,  Muebles, accesorios y equipos de Oficina de todas las sedes.</t>
  </si>
  <si>
    <t>VIC.ADTIVA.
FACECO
F.C.J.P.</t>
  </si>
  <si>
    <t>SA-PY2b.5</t>
  </si>
  <si>
    <t>Dotación de elementos de aseo y cafetería.</t>
  </si>
  <si>
    <t xml:space="preserve">
F. SALUD
F.EDUCACION
</t>
  </si>
  <si>
    <t>SA-PY2b.6</t>
  </si>
  <si>
    <t>Dotación, renovación de Software y licencias.</t>
  </si>
  <si>
    <t>F.EDUCACION
F. SALUD
F.C. EXACTAS</t>
  </si>
  <si>
    <t>SA-PY2b.7</t>
  </si>
  <si>
    <t>Contratación personal para mantenimiento CTIC.</t>
  </si>
  <si>
    <t>VIC.ADTIVA.
FACECO</t>
  </si>
  <si>
    <t>Proyecto SA-PY2c. Desarrollo Proyectos Institucionales</t>
  </si>
  <si>
    <t>SA-PY2c.1</t>
  </si>
  <si>
    <t xml:space="preserve">Implementación  plataforma LCMS en la Usco para aumentar la tasa de cobertura bruta en la educación superior en el Departamento del Huila”, </t>
  </si>
  <si>
    <t>520-2</t>
  </si>
  <si>
    <t>SA-PY3.  Aseguramiento de los sistemas de Gestión de Calidad y Gestión Ambiental.</t>
  </si>
  <si>
    <t>SA-PY3.1</t>
  </si>
  <si>
    <t>Desarrollo de las actividades Gestión Ambiental y  vinculación personal del Proyecto.</t>
  </si>
  <si>
    <t>OFICINA PLANEACION</t>
  </si>
  <si>
    <t>SA-PY3.2</t>
  </si>
  <si>
    <t>Actualización y desarrollo del Sistema de Gestión de Calidad con el Plan de Desarrollo y vinculación personal del Proyecto.</t>
  </si>
  <si>
    <t>SA-PY3.3</t>
  </si>
  <si>
    <t>Afiliación y Auditoría de seguimiento de la Certificación ISO 9001:2008 NTCGP 1000:2009.</t>
  </si>
  <si>
    <t>SA-PY3.4</t>
  </si>
  <si>
    <t xml:space="preserve"> Gestión de la estructura academico-administrativa y financiera.</t>
  </si>
  <si>
    <t>SA-PY5.  Reestructuración Organizacional académica y administrativa.</t>
  </si>
  <si>
    <t>SA-PY5.1</t>
  </si>
  <si>
    <t>Elaboración de estudio de factibilidad ténico-financiero de la modernización académico administrativa.</t>
  </si>
  <si>
    <t>VIC. ADTIVA.</t>
  </si>
  <si>
    <t>ESTUDIO IMPLEMENTACIÓN</t>
  </si>
  <si>
    <t>SA-PY7. Formación y Capacitación al Personal Administrativo y Operativo.</t>
  </si>
  <si>
    <t>SA-PY7.1</t>
  </si>
  <si>
    <t>Ejecución Plan de Capacitación para el personal Administrativo y de Trabajadores Oficiales.</t>
  </si>
  <si>
    <t>VIC.ADTIVA.
F.INGENIERIA
F. EDUCACIÓN</t>
  </si>
  <si>
    <t>TOTAL SUBSISTEMA ADMINISTRATIVO</t>
  </si>
  <si>
    <t>TOTALES</t>
  </si>
  <si>
    <t>ABRIL</t>
  </si>
  <si>
    <t xml:space="preserve">MAYO </t>
  </si>
  <si>
    <t xml:space="preserve">JUNIO </t>
  </si>
  <si>
    <t xml:space="preserve">ABRIL </t>
  </si>
  <si>
    <t xml:space="preserve">INVESTIGACION </t>
  </si>
  <si>
    <t>JUNIO</t>
  </si>
  <si>
    <t>UNIVERSIDAD SURCOLOMBIANA</t>
  </si>
  <si>
    <t>OFICINA DE PLANEACIÓN</t>
  </si>
  <si>
    <t>SEGUIMIENTO AL PLAN DE DESARROLLO</t>
  </si>
  <si>
    <t>CODIGO</t>
  </si>
  <si>
    <t>ES-PLA-FO-04</t>
  </si>
  <si>
    <t>VERSION</t>
  </si>
  <si>
    <t>VIGENCIA</t>
  </si>
  <si>
    <t xml:space="preserve">
V.ACADEMICA
F. INGENIERIA
FACECO
F.EDUCACION</t>
  </si>
  <si>
    <t>SISTEMA ADMINISTRATIVO</t>
  </si>
  <si>
    <t>FECHA DEL INFORME</t>
  </si>
  <si>
    <t>SISTEMA FORMACION</t>
  </si>
  <si>
    <t>SISTEMA INVESTIGACION</t>
  </si>
  <si>
    <t>SISTEMA PROYECCION SOCIAL</t>
  </si>
  <si>
    <t>SISTEMA BIENESTAR</t>
  </si>
  <si>
    <t>SI-PY3.4</t>
  </si>
  <si>
    <t>Capacitación y Desarrollo de talleres para la formación de la investigación.</t>
  </si>
  <si>
    <t>SP-PY5.3</t>
  </si>
  <si>
    <t>Atención apersonas en drogadicción, prostitución y E.T.V.  en las Sedes.</t>
  </si>
  <si>
    <t>Realización de dos eventos para la socialización del Proyecto de actualización del Manual de Convivencia Estudiantíl. Proceso Acreditación.</t>
  </si>
  <si>
    <t>Realización de dos eventos para la socialización del Proyecto del Estatuto Docente. Proceso Acreditación.</t>
  </si>
  <si>
    <t xml:space="preserve">SA-PY1.1 </t>
  </si>
  <si>
    <t>SA-PY1.2</t>
  </si>
  <si>
    <t>SA-PY1.3</t>
  </si>
  <si>
    <t>CONSTRUCCIONES</t>
  </si>
  <si>
    <t>ADQUISICION EQUIPOS</t>
  </si>
  <si>
    <t>CAPACITACION</t>
  </si>
  <si>
    <t>INVESTIGACIONES</t>
  </si>
  <si>
    <t>PLANEACION</t>
  </si>
  <si>
    <t>EXTENSION</t>
  </si>
  <si>
    <t>PROYECTOS INSTITUCIONALES-SISTEMA GENERAL DE REGALIAS</t>
  </si>
  <si>
    <t>TOTAL INVERSION</t>
  </si>
  <si>
    <t>TOTAL PLAN DE ACCION 2016</t>
  </si>
  <si>
    <t>POLITICA</t>
  </si>
  <si>
    <t>PORCENTAJE</t>
  </si>
  <si>
    <t xml:space="preserve">• Apoyo a estudiantes interesados en ingresar a la USCO: Como coordinador del proceso de oferta académica, apoyamos el proceso de  inscripción de 5 personas que lograron ingresar a la Universidad Surcolombiana en la  Sede Neiva y Sede Garzón. El proceso fue clave a la hora de brindar claridades en  cuento a compra de pin, inscripción, matricula académica y matrícula financiera.  
• Diseño de Banner para página web OPANOTICIAS: Se diseñó banner para promocionar el proceso de admisión y matrícula para el periodo  2017 B en la Universidad Surcolombiana.  A través de la página www.opanoticias.com 
• Publicación “INSCRIPCIONES ABIERTAS” en redes sociales y promoción de puntajes de cierre: Con el objeto de promocionar el tiempo de convocatoria y la plataforma para ingresar a la plataforma  POP que desarrollar el grupo PACA. 
• Publicación OFERTA ACADÉMICA EN DIARIO LA NACIÓN: Se publicó en las páginas centrales del diario  LA NACIÓN, la oferta académica de pregrado USCO 2017 B (Páginas 18 y 19) del domingo 14 de Mayo de 2017. 
• Sesión fotográfica Institucional: La Vicerrectoría Académica a través del Proyecto de Apropiación de la Teleología Institucional  realizó una sesión fotográfica con estudiantes de los distintos programas, con el fin de promocionar la oferta académica y de utilizarlas en las piezas graficas propias de la Universidad. 
• Actualización, promoción y divulgación de video promocional de oferta académica: La Vicerrectoría Académica realizó la actualización del video clip que ha sido utilizado para promocionar la oferta académica de pregrado. Los videos fueron publicados Redes sociales y plataformas digitales de la USCO. 
• Oferta académica en REDES SOCIALES: Se diseñó una publicación para FACEBOOK que tuvo bastante acogida. (IMÁGENES), Se diseñó un banner (TIPO GIF) publicado en redes sociales.
• Promoción de oferta académica en Coyaima y Castilla: En la que participaron 140 estudiantes de las dos municipalidades.  
• Promoción de oferta en la I.E. Agustín Codazzi de Neiva: En la que participaron 44 estudiantes
• Promoción de oferta en la I.E. Corregimiento el Caguán de Neiva: En la que participaron 86 estudiantes
• Promoción de oferta en el municipio de Natagaima: En la que participaron 160 estudiantes
• Promoción de oferta en la I.E. Corregimiento el Guacirco de Neiva: En la que participaron 66 estudiantes
• Participación en Feria universitaria y promoción de oferta en Paicol (Huila): En la que participaron 102 estudiantes
• Promoción de oferta en EL PATO Y GUAYABAL: En la que participaron 133 estudiantes
</t>
  </si>
  <si>
    <t xml:space="preserve">• Apoyo económico para manutención y transporte a Pitalito para apoyar tramite de registro calificado a nuevo programa de Administración Turística y hotelera
• Apoyo económico para viáticos y pasajes terrestres para participar y apoyar en la visita de pares académicos del nuevo programa de Administración Turística y hotelera
• Apoyo económico para manutención y pasajes terrestres con el fin de realizar visita a la Universidad Nacional de Colombia: FACIEN
• Elaboración y corrección de documento maestro para programa de postgrados de especialización en FACIEN
</t>
  </si>
  <si>
    <t xml:space="preserve">• Perfiles Teleología “PERFIL SURCOLOMBIANO” En video y en postal fotográfica: Perfil No. 2 Johana Milena Díaz, Oficina de Relaciones Nacionales e internacionales.
• Apoyo a PROCESO DE ACREDITACIÓN: Organización de la carpeta del proyecto PY1 TELEOLOGÍA INSTITUCIONAL para  entregar como soporte al factor 1 a los PARES ACADÉMICOS.
• Diseño de tarjetas de invitación a los estamentos para la VISITA DE LOS PARES (ACREDITACIÓN): Diseño de tarjeta de invitación para estudiantes, para docentes, para egresados, para organizaciones y  sector público.  
• Video promocional en video (Invitación a encuentro con los PARES)  Promoción y difusión: Realización del video de invitación para estudiantes, para docentes, para egresados,  para organizaciones y sector público.  
</t>
  </si>
  <si>
    <t xml:space="preserve">• Elaboración de arañas para ubicar en las oficinas: Se diseñaron las MINI ARAÑAS para ubicar en las distintas dependencias, se  imprimieron 20 arañas que se distribuyeron en todas las oficinas participantes del  concurso PATI NOS EVALÚA.  
• Concurso PATI NOS EVALUA con personal administrativo de la USCO: Con la participación de 26 dependencias contando con las Sedes y  260  personas  participantes. De las cuales ganaron las dependencias de  Tesorería,  Contabilidad, Presupuesto y Control Interno.  En el concurso por las Sedes ganó La Sede La Plata.  
• Encuesta a personal administrativo para medir el impacto de las estrategias comunicativas: Se realizó encuesta al personal administrativo con el fin de evaluar el impacto generado con las estrategias desarrolladas por el Proyecto PY1 Identidad con la Teleología  Institucional: TOTAL PERSONAS RESPONDIERON LA ENCUESTA: 40.  
</t>
  </si>
  <si>
    <t xml:space="preserve">Docentes Invitados Y Actividades de la ESCUELA DE FORMACIÓN PEDAGOGICA 
• 21 de abril, Tertulias Pedagógicas  
• 28 de abril, Dra. María Constanza Jiménez: El currículo en la Educación Superior 
• 5 de mayo, Tertulias Pedagógicas: TRABAJO POR EQUIPOS
• 19 de mayo, Dra. Martha Lorena Salinas: Evaluación del aprendizaje en la Educación Superior
• 2 de junio, Tertulias Pedagógicas
• 09 de junio, Cierre Escuela de Formación Pedagógica : PRIMER SEMESTRE 2017-1 – PARTICIPANTES: 62 DOCENTES INSCRITOS.
• CANAL DE YOUTUBE: ESCUELA DE FORMACIÓN PEDAGÓGICA (Soporte de cada una de las Actividades): https://www.youtube.com/channel/UC_1qpSojAtWWFYzpssYOyJQ
• Durante el semestre 2017-1 se consolidó el portafolio de Servicios Académicos de la EFP, se dispuso de un Google Formularios para diligenciar el formato. Hasta el momento contamos con los siguientes temas: Seminario Taller Pedagogías Críticas, Consultoría en gestión pública territorial, Consultoría en direccionamiento estratégico, USO DE HERRAMIENTAS DE GOOGLE DRIVE PARA LA DOCENCIA Y TRABAJO COLABORATIVO EN ESPACIOS ACADÉMICOS, Técnicas para hablar en público, Laboratorio Informática Facultad de Educación (LIFE), Taller análisis de datos cualitativos con ATLAS.TI, Seminario-taller o conferencia-plenaria sobre tecnología educativa, enfoques TIC y TAC, Seminario Taller Técnicas y métodos de investigación social, Seminario: Política Pública de Educación Rural en Colombia: OCHO PROFESORES SON LOS QUE OFRECIERON SUS SERVICIOS ACADÉMICOS PARA LA CONSTRUCCIÓN DEL PORTAFOLIO
</t>
  </si>
  <si>
    <t xml:space="preserve">• VIATICOS PARA ASISTIR COMO PONENTE EN EL II CONGRESO IBEROAMERICANO DE INVESTIGACION SOBRE MIPYME
• MANUTENCION Y TRANSPORTE TERRESTRE PARA PARTICIPAR COMO PONENTE DE CONGRESO INTERNACIONAL DE MUJERES EXPRESION Y VIDA PUBLICA: LADYS JIMENEZ TORRES
• APOYO ECONOMICO PARA MANUTENCION CON EL FIN DE ASISTIR AL ISN WORLD CONGRRESS OF NEPRHROLOGY
• MANUTENCION PARA PARTICIPAR DEL IX CONGRESO INTERNACIONAL SOBRE LA ENSEÑANZA Y APLICACIÓN DE LAS MATEMATICAS
• APOYO ECONOMICO PARA MANUTENCION CON EL FIN DE PARTICIPAR COMO PONENTE EN EL XXXV CONGRESO INTERNACIONAL AESL
•  INSCRIPCION Y MANUTENCION PARA PARTICIPAR COMO PONENTE EN EL X ENCUENTRO INTERNACIONAL DE EDUCACION INFANTIL
• MANUTENCION PARA ASISTIR AL THE FIRSTH Y FOREMOST IN THE WORLD 
• MANUTENCION PARA PARTICIPAR EN EL 1ER CONGRESO NACIONAL SOBRE ENERGIA SOLAR DE FOTOVOLTAICA
• VIATICOS Y PASAJES TERRESTRES PARA ASISTIR A LA XXX FERIA INTERNACIONAL DEL LIBRO
• VIATICOS Y PASAJES TERRESTRES PARA ASISTIR A LA FERIA INTERNACIONAL DEL LIBRO
• PASAJES TERRESTRES Y MANUTENCION CON EL FIN DE PARTICIPAR EN DFERENTES TALLERES
•  PASAJES TERRESTRES Y MANUTENCION CON EL FIN DE PARTICIPAR EN CAPACITACION SOBRE DIDACTICA DE LA LECTURA
• APOYO ECONOMICO PARA MANUTENCION CON EL FIN DE PARTICIPAR EN IX CONGRESO INTERNACIONAL SOBRE ENSEÑANZA
• PASAJES TERRESTRES Y MANUTENCION CON EL FIN DE PARTICIPAR EN CAPACITACION SOBRE DIDACTICA DE LA LECTURA
• VIATICOS Y PASAJES AEREOS PARA PARTICIPAR EN EL SEMINARIO METODOLOGIA LOGICA ENFOQUES 
• PASAJES AEREOS PARA ASISTIR AL IV CONGRESO INTERNACIONAL DE MODELOS Y TEORIAS DE ENFERMERIA
• MANUTENCION CON EL OBJETO DE ASISTIR AL EVENTO AMERICAN PSIQUIATRIA ASSOCIACION ANNUAL MEETING
•  MANUTENCION PARA PARTICIPAR CON PONENCIA EN LA MODALIDAD ORAL EN EL V CONGRESO MUNDIAL DE INVESTIGACION
• VIATICOS Y TRANSPORTE TERRESTRE CON EL FIN DE PARTICIPAR EN JORNADA DE ACTUALIZACION Y ANALISIS 
• VIATICOS PARA ASISTIR COMO PONENTE AL II SEMINARIO DE SALUD PUBLICA EN GIRARDOT
• MANUTENCION PARA ASISTIR AL CONGRESO INTERNACIONAL DE ENFERMERAS EN BARCELONA ESPAÑA
• MANUTENCION PARA DOCENTE MAGDA PAOLA TAFUR  QUIEN ASISTIRA A LA FERIA DEL LIBRO DE 2017 A REALIZARSE EN BOGOTA
• VIATICOS E INSCRIPCION PARA ASISTIR AL IV CONGRESO INTERNACIONAL DE MODELOS Y TEORIAS DE ENFERMERIA
• APOYO ECONOMICO PARA MANUTENCION Y TRANSPORTE TERRESTRE CON EL FIN DE ASISTIR A CONGRESO 37
• INSCRIPCION PARA ASISTIR COMO PONENTE AL V CONGRESO INTERNACIONAL DE EMPRENDIMIENTO
• GASTOS DE MANUTENCION Y TRANSPORTE PARA PARTICIPAR EN III SIMPOSIO NACIONAL DE DIDACTICA Y PEDAGOGICA EN CONTADURIA PÚBLICA
• APOYO ECONOMICO PARA MANUTENCION Y PASAJES TERRESTRES CON EL FIN DE REALIZAR SUSTENTACION
• INSCRIPCION, PASAJES AEREOS Y MANUTENCION PARA PARTICIPAR EN EL XIII SEMINARIO DE FUTBOL INTERNACIONAL
• PAGO DE INSCRIPCION CON EL FIN DE PARTICIPAR EN EL XXXVIII CONGRESO COLOMBIANO DE DERECHO PROCESAL
• VIATICOS PARA ASISTIR A CONGRESO DE CONSEJO INTERNACIONAL
• APOYO ECONOMICO PARA GASTOS DE MANUTENCION PARA ASISTIR AL I CURSO DE HEPATOLOGIA CLINICA
• MANUTENCION PARA ASISTIR AL I CURSO DE HEPATOLOGIA CLINICA QUE SE REALIZARA EN LA CIUDAD DE BOGOTA
• VIATICOS Y PASAJES TERRESTRES PARA PARTICIPAR EN EL XI CONGRESO NACIONAL DE MEDICINA CRITICA Y CUIDADO INTENSIVO
• MANUTENCION, INSCRIPCION Y PASAJES TERRESTRES PARA PARTICIPAR EN EL ENCUENTRO NACIONAL DE MATEMATICAS Y ESTADISTICA
• INSCRIPCION PARA LA REALIZACION DE CURSO VIRTUAL DENOMINADO "EL CONTRATO ESTATAL"
• MANUTENCION PARA ASISTIR A LA VI ESCUELA DE VERANO RECOBRO Y PRODUCTIVIDAD 
• INSCRIPCION PARA PARTICIPAR EN EL CONGRESO INTERNACIONAL IAMCR 2017 "TRANSFORMACION DE LA CULTURA"
• INSCRIPCION PARA PARTICIPAR EN EL CONGRESO INTERNACIONAL IAMCR 2017 "TRANSFORMACION DE LA CULTURA"
• VIATICOS Y PASAJES AEREOS PARA ASISTIR COMO PONENTE A CONGRESO COLOMBIANO DE MATEMATICOS
• VIATICOS E INSCRIPCION PARA ASISTIR A LA CERTIFICACION EN CINEANTROPOMETRIA
• INSCRIPCION PARA ASISTIR AL XXXVIII CONGRESO COLOMBIANO DE DERECHO PROCESAL
• INSCRIPCION Y PASAJES TERRESTRES PARA ASISTIR AL XVI CONGRESO DE ANTROPOLOGIA EN COLOMBIA
• APOYO ECONOMICO PARA MANUTENCION CON EL FIN DE ASISTIR COMO JUEZ
</t>
  </si>
  <si>
    <t xml:space="preserve">• Se realizó la convocatoria (durante un mes) para la prueba diagnóstica con aplicativo de Google Formularios, y se divulgó a través del uso de los medios institucionales y el correo electrónico a docentes TCP y TCO, MTP.
• También se realizó una convocatoria a través del aplicativo de Google Formularios para los (as) docentes que continuaban con el proceso desarrollado en el año 2016-2.
• TOTAL DOCENTES INSCRITOS: 114 para la prueba diagnóstica y continuidad del curso.
• Todos los (as) docentes se les hizo entrega de un acta de compromiso y su vez el libro guía para el desarrollo del curso. 
• El curso se está realizando de lunes a viernes de 8-12m en ILEUSCO en el Mes de Julio.
</t>
  </si>
  <si>
    <t>Se informo a las facultades mediante E-mail la existencia del Rubro en la que deberan presentar una propuesta de cursos Afines al objetivo de la actividad.</t>
  </si>
  <si>
    <t xml:space="preserve">• Revisión de Insumos Documentales y Numéricos, para el Taller del Programa de  Licenciatura de Inglés. Factores 7, 8 y 10.  3 de Abril de 2017
• Elaboración presentación para el Taller del Programa de  Licenciatura de Inglés. Factores 7, 8 y 10. 3 de Abril de 2017
• Orientación del Sexto Taller de Autoevaluación del programa de Licenciatura en Ingles. Factores 7, 8 y 10. 4 de Abril de 2017 
• Elaboración matriz general: Factores, preguntas orientadoras y la relación de insumos documentales y numéricos que se requieren para el Taller de Autoevaluación del Programa de Sicología. Factores 1 - 10.  20 y 21 de Abril de 2017
• Revisión y selección de los insumos documentales y numéricos y organización en carpetas por factores (Esta información fue entregada a la coordinadora de autoevaluación Gina Marcela Ordoñez). Así mismo, se hizo apoyo  para la elaboración de algunos insumos de carácter documental para Taller de Autoevaluación Programa Sicología. 25 y 26 de Abril de 2017
• Organización del cuadro de insumos con sus respectivas preguntas orientadoras e insumos para el Taller Ingeniería Civil. Condición 2. Justificación y revisión documentación enviada por el Programa. 26 de Abril de 2017
• Acompañamiento al Taller de Autoevaluación del programa de Sicología. Factores 1 - 10. 27 de Abril de 2017 
• Revisión de Insumos Documentales y Numéricos para el Taller del Programa de  Ingeniería Civil. 1 de Mayo de 2017
• Elaboración propuesta final de Taller para evaluación de condiciones de calidad  del Programa de Administración de Empresas de las Sedes Pitalito, Garzón y La Plata. 1 de Mayo de 2016
• Elaboración presentación para el Taller del Programa de  Ingeniería Civil. 4 de Mayo de 2017
• Acompañamiento del Primer Taller de Autoevaluación del programa de Ingeniería Civil. Condición 2. Justificación. 5 de Mayo de 2017 
• Revisión insumos para los tres talleres de las sedes de Administración de Empresas que se realizaron según listado de asistencia, los días Jueves 11 de Mayo: Garzón, Viernes 12 de Mayo: Pitalito y Martes 16 de Mayo: La Plata
• Preparación Taller Programa Ingeniería Agrícola – Sede La Plata. Evaluación Condiciones de Calidad. Lunes 8 de Mayo de 2017
• Revisión Insumos y elaboración presentación para el Taller Programa Ingeniería Agrícola – Sede La Plata. Evaluación Condiciones de Calidad. Martes 9 de Mayo de 2017
• Elaboración presentación para el Taller del Programa de  Ingeniería Civil. 16 de Mayo de 2017
• Acompañamiento del Segundo Taller de Autoevaluación del programa de Ingeniería Civil. Condición 3. Contenidos Curriculares. I Parte. 19 de Mayo de 2017 
• Elaboración presentación para el Taller del Programa de  Ingeniería Civil. 22 de Mayo de 2017
• Acompañamiento del Tercer Taller de Autoevaluación del programa de Ingeniería Civil. Condición 3. Contenidos Curriculares. II Parte. 26 de Mayo de 2017 
• Acompañamiento del Primer Taller de Autoevaluación del programa de Ingeniería de Software con Docentes. Evaluación Condiciones de Calidad. 19 de Mayo de 2017 
Asesorías:
• Asesoría a profesoras Gina Marcela Ordoñez y Luisa Fernanda Muñoz, Coordinadoras de Autoevaluación Sede Neiva y Sede La Plata respectivamente. Programa de Sicología. Tema: Orientaciones generales del proceso de autoevaluación para desarrollar en La Plata y la preparación previa del taller Sede Neiva.  7 de Abril de 2017 
• Acompañamiento reunión Comité de Autoevaluación Programa de Ingeniería Civil. Tema: Conformación del Comité de Autoevaluación, socialización plan de acción y taller autoevaluación. 21 de Abril de 2017
• Asesoría a Profesora Yaneth Liliana Ruíz Osorio, Coordinadora Autoevaluación Programa de Ingeniería Agrícola. Tema: Orientaciones generales proceso de autoevaluación sede La Plata y preparación Taller.  24 de Abril de 2017 
• Asesoría a Profesores Myriam Rocio Pallares y Julián Andrés Pulecio, integrantes del programa de Ingeniería Civil. Tema: Preparación Taller Condición Justificación. Se revisó preguntas orientadores, se sugirió ajustes y se acordó realizar taller con participación de docentes y elaboración conjunta de insumos para enviar a los participantes, previo al taller.  25 de Abril de 2017 
• Asesoría al profesor Carlos Salamanca del Programa de Administración de Empresas. Tema: Orientación sobre metodología para el desarrollo de talleres de autoevaluación en las tres sedes acorde con el modelo institucional. 2 de Mayo de 2017
• Asesoría a Profesores Myriam Rocio Pallares y Julián Andrés Pulecio, integrantes del programa de Ingeniería Civil. Tema: Preparación del Tercer Taller Condición 3. Contenidos Curriculares II Parte. 16 de Mayo de 2017
Otras actividades:
• Envío del Banco de Preguntas con las respectivas orientaciones, a la profesora Gina Marcela Ordoñez, Coordinador de Autoevaluación - Sede Neiva. Programa de Sicología. 5 de Abril de 2017
• Envío de Información profesor Ignacio Ramírez, coordinador Especialización en Gerencia Tributaria preguntas relacionadas con las condiciones de calidad establecidas en el Decreto 1075 de 2015 y que compiló el Decreto 1295 de 2010.  Las preguntas se aportaron para el foro virtual. 7 de Abril de 2017
• Envío de Información Yaneth Liliana Ruíz Osorio, Coordinadora Autoevaluación Programa de Ingeniería Agrícola, dos informes de acreditación sede Neiva y sede La Plata y documento maestro Sede La Plata.  24 de Abril de 2017
• Envío de Información profesora Gina Marcela Ordoñez, Coordinadora de Autoevaluación - Sede Neiva de la matriz final elaborada para el taller de autoevaluación N°2 con las preguntas y los insumos aportados por el equipo al Programa. 26 de Abril de 2017 
• Envío de Información a la Profesora Myriam Rocio Pallares, Coordinadora autoevaluación programa de Ingeniería Civil: Guía Taller N°1. Justificación, Modelo Autoevaluación Institucional y Taller de Reforma Curricular. 26 de Abril de 2017
• Envío Preguntas Orientadoras al profesor Carlos  Salamanca, Coordinador de Autoevaluación -. Sedes . Programa de Administración de Empresas. 2 de Mayo de 2017
• Envío Preguntas Orientadoras e insumos para el desarrollo del Taller, a la profesora Yaneth, Coordinadora de Autoevaluación - Sede La Plata . Programa Ingeniería Agrícola. 11 de Mayo de 2017
• Participación de I Jornada del II Congreso de Internacionalización. Nodo Tolima grande – Red Colombia para la internacionalización. 4 de Mayo de 2017
• Participación a la rendición de cuentas de la Vicerrectoría Académica Vigencia 2016. 15 de Mayo de 2017
Participación a la rendición de cuentas del Rector. 24 de Mayo de 2017
2. Respecto a la participación en la Autoevaluación Institucional y otras actividades de la institución, se informa lo siguiente:
• Reunión equipo de apoyo Acreditación Institucional. Tema. Socialización de la propuesta de la creación de la Unidad del Aseguramiento de la Calidad. 26 de Abril de 2017
• Participación a la Reunión del Comité de Acreditación Institucional. Tema: Socialización preparación simulacro, cuadros maestros y aspectos relacionados con visita de pares.  26 de Abril de 2017
• En este mes se realizó un acompañamiento a la mesa de trabajo del Factor 2. Estudiantes liderado por la Vicerrectoría Académica en el marco de la preparación de visita de pares con los Estudiantes. Las jornadas de trabajo fueron las siguientes:
• 5 de Abril de 2017. Reunión con el Equipo. Socialización Avances recolección de información por parte de los grupos –Factor 2. Estudiantes
•6 y 7 Abril de 2017: Trabajo individual. Agregó y reorganización datos nuevos a la Matriz de evidencias – Factor 2. Estudiantes y se envió nuevamente a los integrantes del grupo.
• 17 de Abril de 2017: Trabajo individual. Elaboración de relatoría reunión 5 de Abril de 2017.
• 25 de Abril: Trabajo individual. Preparación de la reunión y del material para la reunión del equipo del 26 de Abril de 2017.
• 26 de Abril de 2017. Reunión con el Equipo. Avances y entrega de información y Preparación de la reunión ampliada con los Estudiantes. Preparación visita de Pares.
• Participación a la Reunión del Comité de Acreditación Institucional. Tema: Presentación agenda de visita de pares y preparación simulacro.  3 de Mayo de 2017. Sala audiovisual de la Biblioteca Central (Piso 3)
• Participación a la Reunión del Comité de Acreditación Institucional. Tema: Socialización Factor 7.  10 de Mayo de 2017. 
• Participación al Simulacro Acreditación Institucional. Tema: Sustentación de los diferentes factores y selección de miembros de la comunidad universitaria para el rol como pares académicos y.  17 de Mayo sala audiovisual de la Biblioteca Central (Piso 3)
• Participación a la Reunión del Comité de Acreditación Institucional. Tema: Evaluación de la actividad de simulacros, a fin de analizar la jornada y optimizar detalles de perfeccionamiento de las presentaciones y Exposición de los indicadores de ASCUN. Sala 203 del Edificio de Posgrados. 18 de mayo de 2017
• Participación a la Reunión del Comité de Acreditación Institucional. Tema: Preparación de la presentación del Factor 8 y coordinación para la realización del último simulacro con Pares Colaborativo. 24 de Mayo de 2017.
En este mes se continuó el apoyo profesional a la Mesa de Trabajo del Factor 2. Estudiantes liderado por la Vicerrectoría Académica en el marco de la preparación de visita de pares con los Estudiantes. Algunas de las jornadas de trabajo fueron las siguientes:
- 2 y 3 de Mayo de 2017. Participación y organización Reunión con Estudiantes Representantes de los grupos estudiantiles (3 de mayo). Pedagogía Acreditación Institucional. CEDEIP – Centro de Documentación Especializado del Programa de Ingeniería de Petróleos ubicado frente al Edificio del Programa de Artes a las 2:30 pm. 
- 8 de Mayo de 2017. Preparación de la reunión ampliada con los Estudiantes en el auditorio. Tema: Pedagogía Acreditación; preparación presentación  de la Característica 4. Factor 2; elaboración diapositiva sobre etapas proceso de Acreditación Institucional y revisión general del contenido de la presentación.  
- 9 de Mayo de 2017. Participación en Reunión ampliada con los Estudiantes. Preparación visita de Pares. –Factor 2. Estudiantes.
- Recolección información  
- Reunión 31 de Mayo en la Decanatura de Educación. Tema: Presentación de Agenda de visita definitiva, compromiso de los asistentes con la presencia de estudiantes el día 8 de junio a las 2:45 pm en el auditorio Amparo Páramo y con la presencia de graduados en el mismo lugar a las 6:00 pm y Pedagogía del Factor Estudiantes.
- 22 al 31 Mayo de 2017: Trabajo individual. Recolección, Recepción y organización de información para la Matriz de evidencias etapa final – Factor 2. Estudiantes.  
- 26 de Mayo de 2017. Reunión para socializar con la Vicerrectora Académica los ajustes a la presentación del Factor 2 sobre Estudiantes. 
- Ajustes a la presentación sobre el Factor Estudiantes. Se realizaron varias versiones en diferentes fechas, la última del mes de Mayo fue el miércoles 31 de Mayo de 2017.
• Participación reunión grupo protocolo para preparación visita de pares con el grupo de apoyo acreditación institucional. 2 de Junio de 2017
• Participación y organización de simulacro estudiantes. Facultad de Salud. 5 de Junio de 2017.
• Participación a la Reunión del Comité de Acreditación Institucional. Tema: Avances del proceso.  6 de Junio de 2017. 
• Reunión del Comité de Acreditación Institucional. Tema: Balance de la visita de pares.  15 de Junio de 2017
• Participación  de la Visita de Pares Evaluadores Externos para Acreditación Institucional. 7, 8 y 9 de Junio de 2017. 
• Recolección y organización de información para dar Respuesta a solicitud par académico sobre el Factor Estudiantes. 8 de Junio de 2017
• Selección de evidencias para entregar a los pares académicos con la respectiva  presentación. 8 de Junio de 2017
• Redacción texto sobre Autoevaluación de Sedes para apoyar respuesta de completitud para el informe de los pares académicos. 13 de Junio de 2017
En este mes se continuó el apoyo profesional a la Mesa de Trabajo del Factor 2. Estudiantes liderado por la Vicerrectoría Académica en el marco de la preparación de visita de pares con los Estudiantes. Algunas de las jornadas de trabajo fueron las siguientes:
- Estudio y revisión de cifras del cuadro de Programas. 1 de Junio de 2017
- Informe general del trabajo de recolección de evidencias. 1 de Junio de 2017
- Corrección de la presentación de los estudiantes teniendo en cuenta últimas sugerencias de integrantes de la mesa de trabajo. 2 de Junio de 2017 
- Solicitud Facultades del listado de estudiantes para el simulacro. 2 y 5 de Junio de 2017
- Recolección evidencias definitivas de PACA y Derechos Pecuniarios. 5 de Junio de 2017
- Recolección de las últimas evidencias. 6 de Junio de 2017
- Corrección final presentación Factor 2 de acuerdo a sugerencias del coordinador de acreditación institucional. 6 de Junio de 2017
- Entrega final de matriz y carpetas de evidencias. 6 de junio de 2017 
</t>
  </si>
  <si>
    <t xml:space="preserve">• Durante el mes de abril y mayo, para el desarrollo del programa de Aprestamiento en Habilidades de Comprensión de Lectura y Matemáticas, las actividades realizadas estuvieron enfocadas al seguimiento a los estudiantes que ingresaron al primer semestre desarrollado por los monitores del proyecto y su respectiva sistematización.
• Posteriormente en el mes de mayo, se hizo la recolección de los elementos de seguimiento (Bitácoras, listados de asistencias) para su respectiva sistematización, en igual medida durante el mediados del mes de mayo y junio se empezó a proyectar el proyecto Semestre Cero para el segundo semestre del año 2017.
• Reunión con coordinadores de práctica del programa de Licenciatura en Matemáticas, Licenciatura en Literatura y Lengua Castellana, para evaluar el proyecto. Martes 16 de mayo de 2017.
• Jueves 25 de mayor reunión evaluativa con los estudiantes que hicieron parte del proyecto como monitores.
• Junio 14, reunión con coordinadores de práctica para la selección de los monitores del segundo semestre del año 2017.
• Selección de monitores, convocatoria, presentación de propuesta metodológica del 16 al 20 de junio.
• Reunión para evaluar las diversas propuestas presentadas, analizar los cambios para el segundo semestre del año 2017.
• Organización de las semanas de capacitación de los monitores que harán parte del proceso en el segundo semestre.
• Creación, diagramación y corrección de módulos de Comprensión de Lectura y Matemáticas de junio 12 al 30 de 2017
• Organización logística y de planta física para recibir los estudiantes al programa semestre cero de junio 15 a 30 de 2017.
</t>
  </si>
  <si>
    <t xml:space="preserve">1. ACTIVIDAD: 
• Definición de las fechas de talleres SABER PRO : inician el 14 de agosto hasta el 29 de septiembre de 2017.
• Diseño de postres publicitarios (Saber Pro 2017-2).  
• Taller Uso e Interpretación de Resultados Saber Pro 2017
• Solicitud de vinculación actividad académica remunerada JOSÉ DANIEL BOGOYA MALDONADO 
GESTIÓN DESARROLLADA: 
• Se realizó el diseño de los posters publicitarios con diferentes fotos para rotarlos cada semana y con la información pertinente, invitando a los estudiantes inscritos a presentar las pruebas Saber Pro 2017-2 a participar de las jornadas de capacitación y fortalecimiento en las competencias genéricas que evalúa el Icfes.
• La Universidad Surcolombiana participa de la jornada de divulgación  “Taller Uso de Resultados Saber Pro”, el día martes 11 de julio de 2017. Actividad desarrollada por el Instituto Colombiano para el Fomento de la Educación (ICFES) en el marco de su política de propender por el mejoramiento continuo, en la Biblioteca de la Universidad Cooperativa de Colombia en Neiva.
• La jornada de divulgación consistió en una capacitación sobre aspectos importantes de las Cinco (5) Competencias Genéricas del examen Saber Pro, los nuevos reportes de resultados de esta prueba, las medidas de aporte relativo y otros indicadores de calidad educativa, información que será de utilidad para las instituciones de educación superior de todo el territorio.
• Con el fin de desarrollar el Taller sobre preguntas SABER PRO en procesos de evaluación. Se realizó la solicitud para ordenar la vinculación del Magister JOSÉ DANIEL BOGOYA MALDONADO, quien cuenta con una  Formación académica para realizar dicha actividad, Dirigida para todos los profesores de Tiempo Completo y Medio Tiempo adscritos a las Facultades de la Universidad Surcolombiana y a los docentes capacitadores que hacen parte del Proyecto Saber Pro de la Universidad.
</t>
  </si>
  <si>
    <t xml:space="preserve">Acompañamiento ttécnico docentes consejeros
• Tres (3) sesiones de fortalecimiento de capacidades
• 117 docentes consejeros
• Acompañamiento telefónico para activación de rutas de atención.
• Diseño de metodologías a implementar en consejerías colectivas.
• Planes de alistamiento consejerías colectivas para la totalidad de docentes consejeros
• Socialización de rutas de atención acordadas por Comité de Permanencia y Graduación
Acompañamiento a estudiantado
• 30  espacios de trabajo con estudiantes primer semestre  de 2 horas de duración en cada uno.
• Asistieron 1.108  primer estudiantes, cubriendo la totalidad de facultades de las 4 sedes.
• Acompañamiento telefónico a estudiantado, durante procesos inherentes a su permanencia.
• Asesoría y acompañamiento en activación de rutas a través de Bienestar Universitario
• Realización de consejerías colectivas para la totalidad de programas sede Neiva
Gestión
• Articulación con Unidad de Servicios de Atención Psicológica.
• Articulación con Bienestar Universitario para acompañamiento a Familias.
• Seguimiento a casos derivados a Bienestar Universitario
• Articulación con Programa Mujer y Género – Alcaldía de Neiva para la construcción de rutas de atención.
• Secretaría Técnica Comité Permanencia y Graduación.
• Consolidación de rutas de atención de riesgo de mortalidad universitaria al interior de la USCO
• generación de piezas comunicativas con el fin de socializar el proyecto  y sensibilizar al estudiantado sobre la solicitud temprana de acompañamiento
• Elaboración de materiales para la implementación de planes de trabajo de consejerías por parte de los Programas académicos.
• Seguimiento a la realización de materiales de sensibilización de la comunidad universitaria.
• Actividades de articulación del Proyecto de consejerías a la Unidad de Servicios de Atención Psicológica.
• Avance en proceso de consolidación en de la Política de Inclusión de la Universidad Sur colombiana
</t>
  </si>
  <si>
    <t xml:space="preserve">Acompañamiento al estudiantado indígena
• Acompañamiento a la Junta Directiva del Cabildo Indígena Universitario.
• Acompañamiento a practicante indígena con el objetivo de fortalecer los procesos de comunicación interna y externa.
• Detección temprana de riesgo de mortalidad estudiantil y generación de estrategias de intervención.
• En articulación con el CRIHU se identificaron barreras de acceso durante el proceso de admisiones, a partir de lo cual se implementó una  estrategia de acompañamiento facilitadora, incrementando en un 50% el número de aspirantes que consiguieron completar el proceso de admisión.
• Se facilitó acompañamiento para la consolidación de grupo de tejidos y danzas propias, como dinámica protectora ante el desarraigo cultural vivido por el estudiantado indígena.
</t>
  </si>
  <si>
    <t>Contratación: Corporación Cultural "Alarte", para proceso  de sensibilización para la Pedagogía y ambientación de la autoevaluación con mirasa la acreditación institucional.
Asesorías - Jornadas de acompañamiento con los equipos de trabajo asignados a los factores de Bienestar Universitario, Organización, Gestión y Administración, Recursos de apoyo académico e Infraestructura, Procesos Académicos, Estudiantes, Profesores, Recursos Finaxcieros y Misión y Proyecto Educativo Universitario.
Recolección de información requerida por el CNA para la consolidación de requerimeintos solicitados por el CNA (Cuadros maestros institucionales).
Orientación y elaboración de lineamientos para la organización de evidencias por cada característica y factores  del modelo de autoevaluación.
Organización para la visita de pares académicos hacia la verificación de los resultados del proceso de autoevaluación: Consolidación de los Grupos protocolo de a) Hospedaje y alimentación para lso pares académicos; b) infraestructura: sitios determinados para atender a procesos de visita por los pares académicos (Biblioteca, instancias de bienestar universitario, laboratorios, Sala 203 de posgrados,salas de la facultad de Economía y Administración; instancias del Consultorio Jurídico, Centro de Conciliación y Agenda Social, otros); c) transporte; d) Centro de tecnologia e información; y d) Adecuaciones y logística de espacios de encuentro  con los pares académicos).
Sesiones de trabajo con los Líderes y sus equipos de trabajo por cada uno de los FACTORES para formalizar las presentaciones y sustentaciones de los mismos ante los Pares Académicos.
Revisión detallada de hojas de vida de los docentes  vinculados a la Universidad en la Oficina de Talento Humano para responder a requerimientos solicitados por los Pares Académicos y el CNA sobre: tipo de vinculación, dedicación académica y formación académica de los docentes.
El diseño y gestión respectiva ante las instancias competentes para disponer de un espacio en el Portal Institucional con la trazabilidad del proceso de acreditación, denominado "En la Ruta de la Acreditación Institucional" que hace visible  los documentos. informe de Autoevaluación Institucional, Informe resultado de los aspectos a evaluar; los anexos pertinentes de sustento a la información obtenida en la autoevaluación, el Informe de Sedes, la metodología del proceso, beneficios d ela acreditación institucional, galería de imágenes; presentaciones en power point pro cada Factor, Resolucion de creación del Comité de Autoevaluación. Otros.
Reuniones con Oficna de Planeación para organizar,  concertar, analizar, atender observaciones y modificar el Plan de mejoramiento producto de la autoevaluación con el propósito de socilaizar y ambientar ante las Vicerrectorías, Oficina de Currículo, Consejos Académico y Superior.
Reuniones formales de trabajo con la Oficina de Planeación para cualificar información  hacia la acreditación institucional sobre SUE y Modelo de Indicadores de Desempeño de la Educación.
Atender a solicitudes del Sistema de Comunicación de la Univerisdad para indicar los avances del proceso de acreditación institucional centrado en entrevistas radiales y de televisión, elaboración de artículos y de notas periodísticas, entre otros-
Elaboración del Informe Ejecutivo de cada uno de los facores para atende a requerimientos de los Pares Académicos.
Consolidación del informe de avance de condiciones iniciales para enviar al CNA.
Sesiones de ambientación en la Cámara de Comercio sobre el proceso de autoevaluación con miras a la acreditación institucional con el sector productivo de la región.
Sesiones de ambientación y socialización de los resultados de los procesos de autoevaluación y del plan de mejoramiento con los estamentos de docentes, estudiantes y estamento administrativo.
Revisión de los informes presentados por los Programas Académicos de Licenciaturas en Educación Física, Matemáticas y Pedagogía Infantil, y las orientaciones respectivas para atender a los recursos de reposición  de los actos administrativos hacia la acreditación de los programas académicos en mención. 
Consolidación de información solicitada por los Pares Academicos durante la visita, producto de requerimeintos surgidos en el proceso de las sustentaciones de cada uno de los Factores.
Atención a los requerimientos de miembros del Consejo Superior para cualificar el Plan de Mejoramiento Institucional.
Reuniones con la Oficina de Planeación para determianr las fuentes de financiación para respodner al plan de mejoramiento producto de la autoevaluación.</t>
  </si>
  <si>
    <t>Interacción permanente con la Secretaria Técnica del CNA para formalizar los procesos de entrega de información requerida posterior a la entrega del Informe de Autoevaluación Institucional y para concertar la Agenda de la Visita de Pares Académicos.
Sesiones de trabajo vía virtual con el Coordinador de los Pares Académicos, Dr. Pedro Prieto y los Pares: José Olivar Mosquera, Marcelo Loayza y Gustavo Orlando Alvarez, para precisar información.
Sesiones periodicas con los miembros del Comité de Acreditación y de Regionalización para  verificar procesos, información y asuntos tendientes a la visita de los Pares Académicos.
Recibimiento y atención particular de cada uno de los momentos que implicó la visita de los Pares Académicos: Cumplimiento de la Agenda concertada con los Pares.</t>
  </si>
  <si>
    <t xml:space="preserve">• Bolsa de Empleo Institucional
En aras de fortalecer y posicionar en el municipio de Neiva el Servicio de Bolsa de Empleo Institucional que ofrece de forma exclusiva la Universidad Surcolombiana a graduados y estudiantes, se realizó durante el mes de febrero y marzo  la convocatoria e invitación al evento de lanzamiento de la Bolsa de Empleo al sector de los gremios; dicha actividad se realizó el 16 de marzo en la Hostería Matamundo y contó con  la participación de 80 personas entre empresarios y representantes de diferentes instituciones; el servicio fue  bien  recibido por los empresarios quiénes reconocieron el esfuerzo realizado  por la Universidad por fortalecer y  facilitar a los diferentes usuarios de la Plataforma un sistema de incorporación laboral. Así mismo el 9 de mayo  se socializó el servicio de Bolsa de Empleo ante los gerentes  y representantes de los bancos  que tienen sede en el municipio de Neiva.
</t>
  </si>
  <si>
    <t xml:space="preserve">• Socialización de la Política Institucional de Graduados
Durante los meses de Marzo a Abril se socializó  ante los Consejos de Facultad de Ciencias Sociales y Humanas, Ingeniería,  Ciencias Exactas y Naturales y Salud el Acuerdo 062 de 2016 mediante el cual se aprueba la Política Institucional de Graduados. El propósito era dar a conocer los objetivos de la Política, involucrar a las Facultades en el cumplimiento  y puesta en marcha de las actividades y procesos que trae consigo el Acuerdo mención. 
En cuanto a los graduados el documento fue  compartido vía  correo electrónico para que  el estamento  vaya  apropiando el 
Fechas de socialización
5 de Mayo: Socialización ante el Consejo de Facultad de Salud.
20 de abril: Consejo de Facultad de Ciencias Sociales y Humanas.
8 de mayo: Consejo de Facultad  Facultad de ingeniería.
9 marzo: Consejo de Facultad  facultad de ciencias exactas y naturales
• Seguimiento a graduados
En cuanto al trabajo de seguimiento a graduados se procuró consolidar  y  continuar con el proceso de actualización de  bases de datos, la publicación continua y de interés en diversos medios electrónicos, y la aplicación de la encuesta de graduados que indaga por el desempeño de estos en el medio social, laboral, académico, científico, etc. 
Durante el semestre ingresaron  a la base de datos central 605 datos primarios, se aplicaron 149 encuestas de seguimiento a graduados de los diferentes Programas Académicos con que cuenta la Universidad, se entregaron 646 carnés, se rindieron tres informes en proceso de visita de pares al Programa de Física, Programa de Maestría en Educación y para registro calificado al Programa de  Administración Turística y Hotelera, Biología Aplicada y Maestría en Comunicación de lo Público y de igual forma se realizaron 3 encuentros de graduados en los Programas de Enfermería, Contaduría y Economía. 
Conforme la Política Institucional de Graduados se gestionó 3 convenios de cooperación interinstitucional en apoyo con el Programa de Administración de Empresas; a la fecha se realizó y aprobó un convenio con la Empresa Cootranshuila por descuento del 20% para graduados por concepto de transporte. Así mismo  la Oficina de graduados cuenta hoy con una plataforma nueva para la sistematización de encuestas de seguimiento a graduados y la generación de reportes. 
• Encuentro Proceso de Acreditación Institucional
La Oficina de Graduados realizó dos encuentros en el marco del proceso de Acreditación Institucional; el primero realizado el 10 de mayo con el propósito de socializar las actividades realizadas por la Universidad para optar por la Acreditación de Calidad, para escuchar la postura de los graduados con respecto a la Universidad y también para comunicar la importancia del proceso en la Región. El segundo encuentro se realizó el 8  de junio  en el marco de la visita de pares de acreditación institucional, evento que contó 225 graduados de diferentes Programas Académicos quienes manifestaron su gratitud por la formación recibida y la contribución de la Universidad en el desarrollo del proyecto de vida.
</t>
  </si>
  <si>
    <t>• Renovación de licencias software adobe creative cloud-all, multiple plataforms, multi latin american languages team licesings: Controles Empresariales LTDA.</t>
  </si>
  <si>
    <t>Correo del 18 de Julio</t>
  </si>
  <si>
    <t>Se redistribuyen los recursos asignados en las otras actividades del Plan de Acciòn.</t>
  </si>
  <si>
    <t>Apoyo econòmico para inscripciòn en la conferencia Ascolfa 2017,</t>
  </si>
  <si>
    <t>Se continúa financiando los dos macroproyectos del primer trimestre:
1- Acompañamiento al proceso organizativo de defensa de la cuenca del rio Magdalena para la garantía y restablecimiento de los derechos humanos y los Desca de los afectados por la política minero energética en el departamento del Huila fase III.
2-  Programa de Proyección Social del Museo Geológico y del Petróleo de la Facultad de Ingeniería</t>
  </si>
  <si>
    <t xml:space="preserve">Mediante Acta No. 05 de fecha 21 de Marzo de 2017  el Comité de Proyección Social  aprueba financiar  cada una de  las 7 facultades con la suma de $11.428.000 para proyectos del Plan de Acción, aprobados por el Consejo de Facultad, así:
Facultad de Economía y Administración:
- Escuela de Liderazgo para el posconflicto-emprendimiento.
-Formación de auditores estudiantiles en instituciones públicas de educación media en el municipio de Pitalito.
- Promoción de la cultura del control público desde las aulas escolares de educación media o tecnica en la institución educativa del municipio de Algeciras - Huila.
- Alfabetización financiera para ni;os implementado en instituciones educativas.
- Asesoramiento y acompañamiento a Mipymes sector comercio, industria y organizaciones sociales.
Facultad de Ciencias Exactas y Naturales
- Decimo seminario internacional de matemáticas aplicadas
- II Seminario internacional la física y sus aplicaciones
- III Encuentro de egresados de la FACIEN.
- XIII Olimpiadas de física.
Facultad de Ciencias Jurídicas y Políticas.
- Proyecto Ama-Gi
Facultad de Salud
- Autocuidado de la persona mayor
- Cuidado Domiciliario
- Acompañamiento y tutoría a la población desplazada y vulnerable receptora de Neiva
- Formación e intervención "Clínica del buen trato" centro amigable para el desarrollo integral de jòvenes surcolombianos.
- Encuentros academicos de enfermería.
- Promoviendo salud para vivir.
- Hábitos saludables
- Diseño y validación psicometrica de una prueba vocacional para ser aplicada como criterio de ingreso al programa de enfermería de la Universidad Surcolombiana.
- Promoción de la donación voluntaria y habitual de sangre en la comunidad huilense para generar la cultura de la donación y responder a las necesidades de demanda de sangre del banco de sangre de la ESE Hospital Universitario Hernando Moncaleano Perdomo-Usco, Neiva-2017.
Facultad de Ciencias Sociales y Humanas
- Promoción de los derechos sexuales y reproductivos en familias usuarias y madres comunitarias del programa Fami de la ciudad de Neiva en situación vulnerable.
- Cultura audiovisual universitaria
- Fortalecimiento de la Biblioteca Popular Francisco Pacho Vacca.
- VIII Encuentro Surcolombiano de Psicologìa.
- IX Encuentro Surcolombiano de Psicologìa.
- Semana de la comunicaciòn 1.
- Semana de la comunicaciòn 2.
Facultad de Educaciòn
- Caminemos por la vida
- Los agentes educativos de la primera infancia en el oriente de acciones.
- Lectando
- Club de matemàticas
- Enfoque "Formaciòn audiovisual para el resguardo indìgena POTRERITO del municipio de La Plata.
- Pràcticas de acompañamiento dirigida a docentes y estudiantes.
- Desarrollo de pensamiento creativo
- La lectura y escritura como refugio.
- Programa radial en francès
Facultad de Ingeniería
- Formación en manejo ambiental del cultivo del cacao para el municipio de Palermo Huila.
- Responsabilidad social con la industria petrolera y minera.
- Promoción del consumo de moringa como complemento nutricional en población vulnerable, atendiendo las propiedades antimicrobianas.
</t>
  </si>
  <si>
    <t>Para el mes de septiembre se tiene proyectado el desarrollo del primer congreso nacional e internacional de la Proyección Social.
Se realizò un contrato con Redes y Suministro de Colombia SAS para el suministro de los refrigerios de las actividades desarrolladas por Proyecciòn Social.</t>
  </si>
  <si>
    <t xml:space="preserve">Se contratan 7 personas para apoyo, así
Claudia Patricia Vargas
Alexander Sànchez Manchola
Diana Yubely Vargas Rojas
Jesùs David Falla Arango
Mayra Alejandra Losada
Juan Camilo Forero
Mayra Alejandra Bustos
</t>
  </si>
  <si>
    <t>Para el segundo semestre se vuelve a convocar las reuniones con la Alianza.</t>
  </si>
  <si>
    <t>Se tiene proyectado adicionar recursos, con el fin de contratar personal de apoyo administrativo para el desarrollo de los convenios interinstitucionales que se gestionen.</t>
  </si>
  <si>
    <t>Se tiene proyectado para el mes de octubre la realización del campamento Ondas que reune instituciones educativas cercanas a nuestra Sede, donde se integra  la educación media  con la educación superior</t>
  </si>
  <si>
    <t>Se proyecta el apoyo a eventos que desarrollan nuestros estudiantes y graduados en relación a la interacción de estos dos niveles de formación.</t>
  </si>
  <si>
    <t>Renovaciòn de Hosting de la pàgina Web del portal de noticias de la Universidad.</t>
  </si>
  <si>
    <t>Pago prorroga licencia de funcionamiento emisora Usco.
Pago anual como contraprestaciòn por uso del espectro radioelèctrico de la emisora universiaria.
Contrato Microkits electrònica SAS.
Se contrata a Efrain Augusto Zoque
Viáticos a Diego Fernando Achury para desplazamiento a las sedes Garzòn, Pitalito y La Plata.
Viáticos a Hernando Ceròn Carlosama para desplazamiento a las sedes. 
Contrato a Paola andrea Mora.  Servicio de apoyo logístico con el fin de articular procesos comunicativos.</t>
  </si>
  <si>
    <t xml:space="preserve">Se contratan las siguientes personas para apoyo:
- Fabiàn Esteban Charry Rodrìguez
- Yuly Mora Vàsquez
</t>
  </si>
  <si>
    <t>Correo 14 de Julio</t>
  </si>
  <si>
    <t>correo 12 de Julio</t>
  </si>
  <si>
    <t>1 - Equipo laboratorio de biologia celular: Sistema ininterrumpido de potencia U.P.S; Marca: PEI; Referencia: 7614PEI104MONOF: CONTRATO VIPS  174-A2017
2 - REACTIVOS investigación del laboratorio de biología celular - Cámara de Electroforesis Horizontal Modelo H4 con cubetas para geles de 20x25cm, 2 gel casting dams en aluminio, peine de 20 dientes de 1mm de grosor, conectores y manual. Biometra: CONTRATO VIPS  208-A2017
3 - REACTIVOS investigación del laboratorio de biología celular - TaqMan MicroRNA Reverse Transcription Kit x200Rxns. Los componentes de este kit se utilizan con la cartilla de RT proporcionada con el ensayo de MicroRNA TaqMan para convertir miRNA a cDNA. Marca AB - LIFE TECHNOLOGIES: CONTRATO VIPS  208-A2017</t>
  </si>
  <si>
    <t xml:space="preserve"> Adquisición y renovación de  licencias software Y bases de datos especializadas  para  actividades de investigaciòn.:
Acceso y uso a las bases de datos: 
1 - Science Direct - ORDEN ADMINISTRATIVA No. 054
2 - eBooks Legacy - ORDEN ADMINISTRATIVA No. 054
3 - Compendex - ORDEN ADMINISTRATIVA No. 054
4 - Scopus - ORDEN ADMINISTRATIVA No. 054
5 - Reaxys - ORDEN ADMINISTRATIVA No. 054
6 - Embase - ORDEN ADMINISTRATIVA No. 054
7 - Clinics de la casa editorial holandesa Elsevier B.V. - ORDEN ADMINISTRATIVA No. 054</t>
  </si>
  <si>
    <t>Se apoyó a 1 docentes para la formación de alto nivel (Maestrias, doctorados, posdoctorados):
1 - LEIDY CAROLINA CUERVO - Doctorado en Investigación y Docencia en la UNIVERSIDAD AMERICANA DE EUROPA AC, ORDEN ADMINISTRATIVA No. 037</t>
  </si>
  <si>
    <t xml:space="preserve">Para el segundo trimestre se apoyó para le ejecución de 6 proyectos relacionados así (MEDIANTE ACTA No. 2 DE ENERO 26 DE 2017) - SI-PY1.5 Y SI-PY4.1 SON ACCIONES QUE VAN UNIDAS:
1 - RECONFIGURACIÓN DEL TERRITORIO. DISCURSOS SOBRE TERRITORIO, DEMOCRACIA, DESARROLLO Y POLÍTICA EN EL DEPARTAMENTO DEL HUILA: VIPS 100-A2017, VIPS 099-A2017, RESOLUCION No. 037
2 - ESTUDIO DE LA RADIACIÓN ELECTROMAGNÉTICA INCIDENTE SOBRE SISTEMAS PERIÓDICOS DE GEOMETRÍA PLANAS Y ESFÉRICA, CON MATERIALES DE DIFERENTES PROPIEDADES ELECTROMAGNÉTICAS: VIPS 127-A2017
3 - ANÁLISIS DEL PROCESO EVALUATIVO DEL APRENDIZAJE DEL INGLÉS EN UN PROGRAMA DE LICENCIATURA EN LENGUA EXTRANJERA DE UNA UNIVERSIDAD PÚBLICA EN COLOMBIA: CONTRATO VIPS  175-A2017
4 - EL PAPEL DE LA IGLESIA EN LOS PROCESOS DE PAZ Y RECONCILIACIÓN EN AMÉRICA LATINA – UNA MIRADA HISTÓRICA: AVANCE 073, AVANCE 109
5 - EL TRABAJO COLABORATIVO: UNA HERRAMIENTA PARA LA TRANSFORMACIÓN DE LAS PRÁCTICAS PEDAGÓGICAS: CONTRATO VIPS 098-A2017
6 - EFECTOS DE DOS MÉTODOS DE RETROALIMENTACIÓN CORRECTIVA EN LA ESCRITURA EN INGLÉS COMO LENGUA EXTRANJERA (ILE): EL DESARROLLO DE LA PRECISIÓN GRAMATICAL Y LEXICAL.: CONTRATO CONTRATO VIPS 210-A2017
</t>
  </si>
  <si>
    <t>NO SE HA EJECUTADO EN ESTE TRIMESTRE</t>
  </si>
  <si>
    <t>1 - SE REALIZÓ (1) UN TALLER CON EXPERTO EN GESTIÓN Y APROPIACIÓN SOCIAL DEL CONOCIMIENTO (Doctora en Ciencias Médicas ZORAIDA MARIA AMABLE AMBROS, identificado con Pasaporte No. I392547 de Nacionalidad Cubana): RESOLUCION No. 047</t>
  </si>
  <si>
    <t>Se apoyo al desarrollo de 39 proyectos formulados por los grupos, en el marco del convenio ONDAS: PROPUESTAS DE INVESTIGACIÓN SELECCIÓNADAS QUE VAN A SER ASESORADOS PARA EL AÑO 2017
Nombre del Grupo de Investigación - Pregunta de Investigación - Avance - Porcentaje
1. CONVIVIR EN PAZ - ¿Cuáles son los problemas de convivencia escolar que cotidianamente se observan en la institución educativa san Lorenzo del Municipio de Suaza? - Se han realizado 2 visitas de asesoría y hasta el momento se han diligenciado hasta la bitácora 3. Avance 38%
2. TEJEDORES DE SUEÑOS  - ¿Cómo rescatar la artesanía del sombrero Suaza para que no desparezca su tradición y como proyectar un relevo generacional en los jóvenes del municipio de Suaza para que continúe la trayectoria de las artesanas de avanzada edad? - Se han realizado 2 visitas de asesoría y hasta el momento se han diligenciado hasta la bitácora 3. Avance 38%
3. CLUB ESCOLAR DE CIENCIA, TECNOLOGIA E INNOVACIÓN SAN JUAN BOSCO - "¿Históricamente cuáles plantas medicinales han sido utilizadas en la comunidad educativa y para qué sintomatología son utilizadas?, ¿Las familias de los estudiantes de los grados de secundaria en qué proporción son adictas al tratamiento con productos naturales o de la medicina farmacéutica?, ¿Cuáles son las razones de ese comportamiento?” - Se han realizado 2 visitas de asesoría y hasta el momento se han diligenciado hasta la bitácora 3. Avance 38%
4. SONAE - ¿CUÁLES SON LAS ESPECIES DE PLANTAS DE USO COMESTIBLES EN EL CASCO URBANO, ASÍ COMO EN LAS VEREDAS PUEBLO VIEJO, LLANITOS Y BUENOS AIRES DEL MUNICIPIO ACEVEDO Y COMO SE ELABORAN LAS RECETAS GASTRONÓMICAS LOCALES A PARTIR DE ELLAS? - Se han realizado 2 visitas de asesoría y hasta el momento se han diligenciado hasta la bitácora 3. Avance 38%
5. PINVAMAC (PEQUEÑOS INVESTIGADORES AMBIENTALES DE ACEVEDO)  - ¿cuál es el estado actual en la que se encuentra la quebrada el cangrejo del municipio de Acevedo, Huila? - Se han realizado 2 visitas de asesoría y hasta el momento se han diligenciado hasta la bitácora 3. Avance 38%
6. REVERDESER - Qué viabilidad hay en la producción de abono orgánico con la pulpa de café en la institución educativa San Adolfo -  Se han realizado 2 visitas de asesoría y hasta el momento se han diligenciado hasta la bitácora 3. Avance 38%
7. SEMILLAS DE INVESTIGACION -  cuál es la onda de luz más benéfica para el crecimiento de semillas de frijol, maíz y arveja? - Se han realizado 2 visitas de asesoría y hasta el momento se han diligenciado hasta la bitácora 3. Avance 38%
8. VIGIAS AMBIENTALES ESCOLARES - "¿Cuales fuentes hídricas de la región han desaparecido y cuales han disminuido su caudal? ¿Cuáles han sido las causas  de la desaparición o disminución de caudales? ¿Qué acciones se pueden sugerir para  preservación?" - Se han realizado 2 visitas de asesoría y hasta el momento se han diligenciado hasta la bitácora 3. Avance 38%
9. LIBROS LIBRES - "¿Cómo lograr que los estudiantes de la zona rural de nuestro municipio puedan acceder a obras literarias de bajo costo y alta calidad sin violar derechos de autor?" - Se han realizado 2 visitas de asesoría y hasta el momento se han diligenciado hasta la bitácora 3. Avance 38%
10. LUPITOS - Cómo obtener gas natural a partir de los residuos orgánicos producidos en nuestra comunidad educativa? -Se han realizado 2 visitas de asesoría y hasta el momento se han diligenciado hasta la bitácora 3. Avance 38%
11. EN LA PREVENCIÓN DE LA DESERCIÓN ESCOLAR - Cuales son las causas que provocan la deserción escolar y que estrategias se pueden implementar para reducir la problemática teniendo en cuenta la taza presentada en el año 2016 en la Institución educativa Esteban Rojas Tovar del municipio de Tarqui Huila? - Se han realizado 2 visitas de asesoría y hasta el momento se han diligenciado hasta la bitácora 3. Avance 38%
12. CONECTATE CON EL INGLÉS "CONECTA2" - ¿Cuál es la mejor técnica para el aprendizaje de vocabulario básico en inglés para los estudiantes de la zona rural de la I.E San Isidro del municipio de Acevedo dentro y fuera del aula de clase? - Se han realizado 2 visitas de asesoría y hasta el momento se han diligenciado hasta la bitácora 3. Avance 38%
13. RECICLANDO SUEÑOS - "¿Qué estrategias implementar para que los niños y la comunidad educativa San Isidro adopten Como práctica cotidiana la selección de los residuos sólidos y fomento de una cultura ambiental de la mano de la comunidad y las autoridades ambientales del municipio desarrollando  la  Construcción de cultura ambiental y ciudadanía?" - Se han realizado 2 visitas de asesoría y hasta el momento se han diligenciado hasta la bitácora 3. Avance 38%
14. FUTURITOS AMIGOS DEL MEDIO AMBIENTE - CÓMO PODEMOS REUTILIZAR LOS RESIDUOS SÓLIDOS DE LA INSTITUCIÓN EDUCATIVA SAN JUAN BOSCO PARA MINIMIZAR LA CONTAMINACIÓN AMBIENTAL EN NUESTRA COMUNIDAD ESTUDIANTIL? - Se han realizado 2 visitas de asesoría y hasta el momento se han diligenciado hasta la bitácora 3. Avance 38%
15. CONQUISTADORES DEL ENTORNO - ¿Cómo está el entorno de la fuente termal y azufrada que desemboca en la quebrada del Chuyaco del municipio de Tarqui? ¿Cómo podemos preservar esta fuente? - Se han realizado 2 visitas de asesoría y hasta el momento se han diligenciado hasta la bitácora 3. Avance 38%
16. ELECTRÓN - ¿Cuáles plantas medicinales y para qué sintomatología podrían ser utilizadas en la comunidad educativa de la I.E. San Isidro? - Se han realizado 2 visitas de asesoría y hasta el momento se han diligenciado hasta la bitácora 3. Avance 38%
17. DEFENSORES DEL AGUA - En qué condiciones se encuentra el agua en los nacederos de las veredas Las Juntas, El Vergel, Alto Tablón, La Argentina y Esmeralda? Como cuidarlas? - Se han realizado 2 visitas de asesoría y hasta el momento se han diligenciado hasta la bitácora 3. Avance 38%
18. TEJIENDO PASOS - ¿Como el arte del tejido de la iraca desde el saber tradicional fortalece el patrimonio cultural y la educación propia de la comunidad educativa de la Institución Educativa la Unión del municipio de Suaza? - Se han realizado 2 visitas de asesoría y hasta el momento se han diligenciado hasta la bitácora 3. Avance 38%
19. CAFETERITOS INVESTIGADORES  - Cómo nace, crece y se produce el árbol de café - Se han realizado 2 visitas de asesoría y hasta el momento se han diligenciado hasta la bitácora 3. Avance  38%
20. AQUANIÑOS - ¿El árbol nacedero aumenta los caudales hídricos de la vereda las Brisas de San Isidro Acevedo Huila? - Se han realizado 2 visitas de asesoría y hasta el momento se han diligenciado hasta la bitácora 4. Avance 50%
21. ORALIDAD Y ESCRITURA: TEJIENDO IDENTIDAD A PARTIR DE NUESTRO PASADO - ¿Cómo nuestra memoria colectiva y el pasado, expresado en los  mitos y leyendas,  reafirma nuestra identidad huilense  y el amor por nuestra región? - Se han realizado 2 visitas de asesoría y hasta el momento se han diligenciado hasta la bitácora 3. Avance 38%
22. GREEN ENERGY ¿Cómo aprovechar la energía magnética para aplicarla en la vida cotidiana de los educandos de grado Séptimo de la Institución Educativa Marticas del municipio de Acevedo - Huila? - Se han realizado 2 visitas de asesoría y hasta el momento se han diligenciado hasta la bitácora 3. Avance 38%
23. ROBOTICS - ¿Cómo aplicar la robótica desde  el área de Ciencias Naturales en los niños de grado Cuarto de la Institución Educativa Marticas de Acevedo, Huila? - Se han realizado 2 visitas de asesoría y hasta el momento se han diligenciado hasta la bitácora 3. Avance 38%
24. LOS DRONS - ¿Cómo incentivar el interés por la robótica con recursos caseros en el grado Octavo de la Institución Educativa Marticas del municipio de Acevedo - Huila? - Se han realizado 2 visitas de asesoría y hasta el momento se han diligenciado hasta la bitácora 3. Avance 38%
25. LOS PRIME - ¿Cómo diseñar un sistema de transformación de la energía con recursos reciclables en el grado Quinto de la Institución Educativa Marticas del municipio de Acevedo - Huila? - Se han realizado 2 visitas de asesoría y hasta el momento se han diligenciado hasta la bitácora 3. - 38%
26. ECOCREADORES - ¿La fabricación de algunos útiles escolares con material casero y reciclado permitirá aumentar la eficiencia académica de los estudiantes de la I.E. Marticas del municipio de Acevedo? - Se han realizado 2 visitas de asesoría y hasta el momento se han diligenciado hasta la bitácora 3. Avance 38%
27. PEQUEGENIOS - Cuales son las fortalezas y debilidades de utilizar de algunas plantas medicinales en el control de los vectores (cucarachas) - Se han realizado 2 visitas de asesoría y hasta el momento se han diligenciado hasta la bitácora 3. Avance 38%
28. ESCRITORES DE LIBERTAD - ¿Cómo fortalecer la comunicación y la sana convivencia mediante la ejecución del periódico escolar virtual, estimulando la lectura y comprensión lectora en los estudiantes de los grados tercero, Cuarto y quinto de la Institución Educativa la Unión del municipio de Suaza Huila? - Se han realizado 2 visitas de asesoría y hasta el momento se han diligenciado hasta la bitácora 3. Avance 38%
29. ALIMENTANDO CON AMOR ATRAVES DE NUESTRA HISTORIA - Cual es la importancia del aprovechamiento y utilización de los productos tradicionales de la región de San José de Riecito en el municipio de Acevedo Huila? - Se han realizado 2 visitas de asesoría y hasta el momento se han diligenciado hasta la bitácora 3. Avance 38%
30. FAMILECTORES  - ¿Cuál es el nivel educativo y los hábitos lectores de los padres de familia y estudiantes de la sede principal de la institución educativa la Victoria y que estrategias se pueden implementar para mejorar la formación de hábitos de estudio?  - Se han realizado 2 visitas de asesoría y hasta el momento se han diligenciado hasta la bitácora 3. Avance 38%
31. GUARDIANES AMBIENTALES - ¿Cómo podemos mejorar nuestro entorno ambiental a través del trabajo en equipo con los miembros de la comunidad de la Institución Educativa La Victoria? - Se han realizado 2 visitas de asesoría y hasta el momento se han diligenciado hasta la bitácora 3. Avance 38%
32. ABONOR - Como Fortalecer procesos de certificación en la producción de abonos orgánicos para implementar la agricultura limpia. - Se han realizado 2 visitas de asesoría y hasta el momento se han diligenciado hasta la bitácora 3. Avance 38%
33. COMIENDO ME NUTRO Y APRENDO - ¿Cómo crear buenos hábitos alimenticios en los 23 Estudiantes  de la sede Paraíso de la I.E. La Bernarda del municipio de Guadalupe - Huila?  -Se han realizado 2 visitas de asesoría y hasta el momento se han diligenciado hasta la bitácora 3. Avance 38%
34. EN LA ONDA DEL RECICLAJE - ¿Históricamente cuáles han sido las prácticas más usuales en la disposición final de los residuos orgánicos e inorgánicos? ¿Cuáles considera como buenas prácticas en esta materia que puedan ser tenidas en cuenta en la cultura ciudadana ambiental? - Se han realizado 2 visitas de asesoría y hasta el momento se han diligenciado hasta la bitácora 3. Avance 38%
35. LOS AGENTES DEL AMBIENTE - ¿Cómo podemos disminuir la contaminación del medio ambiental a través de la utilización de los desechos que se producen a la hora del procesamiento del café en la I. E. Bateas Sede El Encanto? - Se han realizado 2 visitas de asesoría y hasta el momento se han diligenciado hasta la bitácora 3. Avance 38%
36. LOS AMIGOS DE LA TIERRA - ¿Cómo disponer y aprovechar de forma adecuada los residuos sólidos orgánicos e inorgánicos generados en la sede Aguas Claras de la IE San Adolfo del municipio de Acevedo? - Se han realizado 2 visitas de asesoría y hasta el momento se han diligenciado hasta la bitácora 3. Avance 38%
37. LOS ECOLOGISTAS DEL FUTURO. - ¿Por qué a los niños y niñas de la Sede Sartenejal, les cuesta trabajo reciclar? - Se han realizado 2 visitas de asesoría y hasta el momento se han diligenciado hasta la bitácora 3. Avance 38%
38. SEMILLAS DE AMOR - ¿Cuál es la incidencia que tiene la huerta escolar en la construcción de aprendizajes significativos, desde la interdisciplinariedad en los niños y niñas de la Institución Educativa José Acevedo y Gómez – Sede El Mirador? - Se han realizado 2 visitas de asesoría y hasta el momento se han diligenciado hasta la bitácora 4. Avance 50%
39. EUREKA - ¿Por qué los habitantes de la vereda El Carmen no protegen la quebrada Toguache, siendo ésta su única fuente hídrica? ¿Qué acciones podemos realizar para recuperarla? - Se han realizado 2 visitas de asesoría y hasta el momento se han diligenciado hasta la bitácora 3. Avance 38%</t>
  </si>
  <si>
    <t>Se apoyó a la formulación, ejecución y divulgación de los siguientes (6) eventos académicos, en donde se realizó al menos una (1) ponencia por evento:
1 - II CONGRESO IBEROAMERICANO DE INVESTIGACIÓN SOBRE LA MIPYME Que se llevará a cabo en San José- Costa Rica: ORDEN ADMINISTRATIVA No. 033, ORDEN ADMINISTRATIVA No. 032, AVANCE 060
2 - PRIMER SEMINARIO DEL POSDOCTORADO EN CIENCIAS SOCIALES, NIÑEZ Y JUVENTUD que se llevará a cabo en SAO PABLO -BRASIL: AVANCE 059
3 - IV CONGRESO INTERNACIONAL IBEROAMERICANO DE ENFERMERIA 2017 A REALIZARSE EN LA CIUDAD DE CANCUN (MEXICO): AVANCE 075, AVANCE 076
4 - primer encuentro nacional de la red de lenguaje y pedagogía "INTERCHANGING VIEWS ON BILINGUAL EDUCATION": ORDEN ADMINISTRATIVA No. 039
5 - V Congreso Internacional de la Asociación para la Formación, Investigación y Desarrollo del Emprendimiento AFIDE 2017, SE LLEVARA A CABO EN LA CIUDAD DE PANAMA, EN LA UNIVERSIDAD CATOLICA SANTA MARIA LA ANTIGUA.: AVANCE 077
6 - Congreso del Consejo Internacional de Enfermeras (CIE): "Las enfermeras a la vanguardia, mejorando los cuidados",  EN BARCELONA ESPAÑA: AVANCE 079</t>
  </si>
  <si>
    <t>Consolidación de grupos de Investigación:
1 - FACULTAD DE SALUD - DESARROLLO DE NEUROCIENCIAS EN PSICOLOGÍA - DNEUROPSY: CONTRATO VIPS 215-A2017
2 - FACULTAD DE SALUD - DESARROLLO SOCIAL, SALUD PÚBLICA Y DERECHOS HUMANOS: CONTRATO VIPS 140-A2017
3 - FACULTAD DE INGENIERIA - AGROINDUSTRIA USCO - CON JOVEN INVESTIGADOR: AVANCE 081</t>
  </si>
  <si>
    <t>Se apoyó con el financiación de 15 proyectos ejecutados por semilleros de investigación:
1 - PRESELECCION DE MERCADOS INTERNACIONALES PARA LOS CAFÉS ESPECIALES DEL DEPARTAMENTO DEL HUILA 2016: AVANCE 069, AVANCE 116
2 - DINÁMICAS TERRITORIALES QUE HAN INFLUIDO EN LA CONFORMACIÓN DEL ASENTAMIENTO ÁLVARO URIBE VÉLEZ EN LA CIUDAD DE NEIVA ENTRE 2002 Y 2016: AVANCE 113
3 - APRENDIENDO A ESTUDIAR LAS CLASES EN EL CLUB DE APOYO MATEMÁTICO DEL HUILA CAMATH: AVANCE 082
4 - PERSPECTIVAS DE CONSTRUCCIÓN DE PAZ EN EL ASENTAMIENTO PEÑÓN REDONDO- NEIVA 2016: AVANCE 113
5 - VIABILIDAD SOCIAL FINANCIERA Y DE CALIDAD PARA LA CREACION DE UN BANCO DE SEMEN Y EMBRIONES ENFOCADO A LOS PEQUEÑOS Y MEDIANOS GANADEROS DE LA REGIÓN SURCOLOMBIANA: ORDEN ADMINISTRATIVA 035, AVANCE 068, CONTRATO VIPS 225-A2017
6 - CARACTERIZACIÓN DE LOS PROCESOS COMUNICATIVOS QUE HAN IMPLEMENTADO LAS ORGANIZACIONES MAS REPRESENTATIVAS DE PITALITO, ANTE LA LLEGADA DE ORGANIZACIONES NACIONALES E INTERNACIONALES DESDE 1996 HASTA EL 2016: AVANCE 084
7 - CARACTERIZACIÓN CITOGENÉTICA DE SACCODON DARIENSIS DE LA PARTE ALTA DEL RIO MAGDALENA: AVANCE 083, CONTRATO VIPS 213-A2017
8 - TAREAS MATEMÁTICAS PARA EL DESARROLLO DE COMPETENCIAS MATEMÁTICAS EN ESTUDIANTES DE EDUCACIÓN BÁSICA SECUNDARIA Y MEDIA: AVANCE 103
9 - LA GARANTIA JUDICIAL DE LOS DERECHOS Y LIBERTADES FUNDAMENTALES EN AMÉRICA LATINA: ANÁLISIS DE LAS EXPERIENCIAS EN COLOMBIA, ECUADOR, PERÚ Y BOLIVIA: AVANCE 117
10 - INSOLVENCIA  DE PERSONA NATURAL NO COMERCIANTE: AVANCE 092
11 -  LA INTERPRETACIÓN JUDICIAL DE LAS ALTAS CORTES EN COLOMBIA (2010-2016): AVANCE 117, ORDENA ADMINISTRATIVA No. 058
12 - CONDICIONES Y PERSPECTIVAS COMUNITARIAS FRENTE A LA SEGURIDAD ALIMENTARIA Y NUTRICIONAL DEL RESGUARDO INDÍGENA TAMA – PÁEZ LA GABRIELA. 2017.: AVANCE 098
13 - DESARROLLO DEL CONCEPTO DE FAMILIA EN COLOMBIA Y SUS IMPLICACIONES JURÍDICAS, A TRAVÉS DE LA  URISPRUDENCIA DE LA CORTE CONSTITUCIONAL, LA CORTE SUPREMA DE JUSTICIA Y EL CONSEJO DE ESTADO DESDE 1991: AVANCE 117, ORDENA ADMINISTRATIVA No. 058
14 - NIÑOS, NIÑAS Y ADOLECENTES EN EL POSTCONFLICTO, UN ESTUDIO DESDE EL DERECHO COMPARADO: AVANCE 093
15 - CONTRATO DE APARCERÍA CON UNA ALTERNATIVA PARA EL SECTOR AGRICOLA EN COLOMBIA DEL POSCONFLICTO: AVANCE 094</t>
  </si>
  <si>
    <t>Se apoyó con la Financiación la vinculación de 2 jóvenes investigadores:
1 - JUAN ESTEBAN LOZANO PLAZAS: CONTRATO VIPS 220-A2017
2 - MARIA ANGELICA SEGURA DURAN: CONTRATO VIPS 221-A2017</t>
  </si>
  <si>
    <t>Se está apoyando en la consolidación de 35 grupos de investigación (MEDIANTE ACTA No. 2 DE ENERO 26 DE 2017):
1 - Agroindustria USCO  
2- Ecosistemas Surcolombianos  
3 - Grupo de Investigación en Pruebas de Pozos
4 - Nuevas Tecnologías
5 - Unificación de los Sistemas de Comunicaciones “UNITCOM”
6 - Grupo de Investigacion de Robotica , control y procesamiento de señales  ROBOCOPS
7 - Desarrollo de Neurociencias en Psicología - DNEUROPSY
8 - Parasitología y Medicina Tropical
9 - Laboratorio de Medicina Genómica
10 - Desarrollo Social, Salud Pública y Derechos Humanos
11 - Biología de la Reproducción
12 - Salud y Grupos Vulnerables
13 - Carlos Finlay
14 - Neurored
15 - Grupo Medico Quirurgico Surcolombiano
16 - Programa de Acción Curricular Alternativo – PACA
17 - Molúfode
18 - Comuniquémonos
19 - Conocimiento Profesional del Profesor de Ciencias Universidad Pedagógica Nacional y Universidad Surcolombiana
20 - Acción Motriz
21 - Aprenap
22 - Simbiosis, Hombre y Naturaleza
23 - Cre@
24 - Pymes
25 - Iguaque
26 - Culturas, Conflictos y Subjetividades
27 - Grupo de Investigación en Psicología Positiva
28 - Crecer
29 - Comunicación, Memoria y Región
30 - Dinusco
31 - Física Teórica
32 - Nuevas Visiones del Derecho
33 - Cynergia
34 - Con-ciencia Jurídica
35 - Pensamiento, Práctica y Teoría Política</t>
  </si>
  <si>
    <t>Se apoyo con la ejecución de 01 convenio cofianciado para el segundo trimestre: 
1 - CONVENIO ESPECIAL DE COOPERACIÓN No. FP44842-164-2017 ENTRE LA FIDUCIARIA LA PREVISORA S.A (COLCIENCIAS) Y USCO: CONTRATO VIPS 220-A2017, CONTRATO VIPS 221-A2017</t>
  </si>
  <si>
    <t>Se ha avanzado aproximadamente en un 80% el Banco de Proyectos de Grupos de Proyectos Especiales (GPE) que consta de 20 Proyectos y aproximadamente en un 80% el Banco de Proyectos de Investigación que lo conforman 6 Facultades y  123 Proyectos; se comenzó con la estructuración del Banco de Proyectos de Proyección Social (SOPORTES REPOSAN EN GPE)</t>
  </si>
  <si>
    <t>Apoyo a la creación y fortalecimiento de centros de investigación y vigilancia tecnológica e innovación: 
1 - Facultad de salud (CENISALUD): CONTRATO VIPS 140-A2017</t>
  </si>
  <si>
    <t>Se apoyó en la gestión y el avance de los proyectos que se realizan con el Banco de Proyectos, elaborados hasta el momento, aproximadamente en un 50% de los proyectos.</t>
  </si>
  <si>
    <t>Se apoyó en la Evaluación de artículos, corrección de estilo, diseño, diagramación, impresión y publicación de revistas institucionales en:
1 - ASESORIA EN LA CORRECCION DE ESTILOS DE REVISTA INGENIERIA Y REGION: CONTRATO FI-005-A-2017
2 - APOYO A LA GESTION EN EL PROCESO DE CREACION Y FUNCIONAMIENTO DE LA REVISTA DE INVESTIGACION INDEXADA DE LA FEA: FACECONOMIA No. 020-2017A</t>
  </si>
  <si>
    <t>Evaluación, corrección estilo, diagramación  y publicación de libros en las diferentes modalidades:   
1 - SE APOYÓ CON EL PAGO ANTE LA CAMARA DEL LIBRO, DEL REGISTRO DE SEIS (06) ISBN Y CODIGOS DE BARRAS PARA LOS LIBROS PRONTOS A PUBLICAR
2 - Evaluación Libro de Investigación: • “Experiencias e innovaciones en la enseñanza de la biología y la formación docente. Tejiendo puentes entre Colombia y España”.</t>
  </si>
  <si>
    <t>SE ESTA GESTIONANDO LA INDEXACIÓN DE LAS 6 REVISTAS DE LAS NUEVAS NORMAS PUBLINDEX:
- Se estructuró el Comité de Editorial Revistas de la Universidad, 
- Se elaboró el procedimiento Editorial Revistas, de acuerdo a los lineamientos de Indexación para Colombia Publindex, 
- Se colocaron 6 revistas instiitucionales en el Open Journale System (OJS) - (100%)</t>
  </si>
  <si>
    <t>1 - Servicios de diseño, diagramacion e imprenta de la Revista de la Facultad de Salud.
2 - Servicio de impresión de la Revista Entornos Vol.29
3 - servicio de diseño, diagramación e impresión del vol 16, Revista Ingeniería y Región de la Facultad de ingeniera Universidad Surcolombiana.
- Se estructuró el Comité de Editorial Revistas de la Universidad, 
- Se elaboró el procedimiento Editorial Revistas, de acuerdo a los lineamientos de Indexación para Colombia Publindex, 
- Se colocaron 6 revistas instiitucionales en el Open Journale System (OJS)</t>
  </si>
  <si>
    <t>Se apoyó el Fortalecimiento, consolidación y mejoramiento de la calidad editorial de la Revista Jurídica Piélagus por lo que:
-Se estructuró el comité de Editorial Revistas de la Universidad, 
-se elaboro el procedimiento editorial revistas, de acuerdo a los lineamientos de Indexación para Colombia Publindex, 
-Se colocó la Revista Jurídica Piélagus en el Open Journale System (OJS) - (100%)</t>
  </si>
  <si>
    <t>MAYO</t>
  </si>
  <si>
    <t xml:space="preserve">SUBSITEMA DE FORMACIÓN </t>
  </si>
  <si>
    <t xml:space="preserve">PROYECTO </t>
  </si>
  <si>
    <t>PESO PORCENTUAL PROYECTO</t>
  </si>
  <si>
    <t>ACCIÓN</t>
  </si>
  <si>
    <t xml:space="preserve">% CUMPLIENTO POR ACCIÓN </t>
  </si>
  <si>
    <t xml:space="preserve">EFICACIA X PROYECTO </t>
  </si>
  <si>
    <t>EFICIENCIA X PROYECTO</t>
  </si>
  <si>
    <t xml:space="preserve">CUMPLIMIENTO DEL SUBSISTEMA DE FORMACION </t>
  </si>
  <si>
    <t>SUBSISTEMA DE FORMACIÓN</t>
  </si>
  <si>
    <t>PLAN DE DESARROLLO INSTITUCIONAL</t>
  </si>
  <si>
    <t>SUBSITEMA DE INVESTIGACIÓN</t>
  </si>
  <si>
    <t xml:space="preserve">CUMPLIMIENTO DEL SUBSISTEMA DE INVESTIGACIÓN </t>
  </si>
  <si>
    <t>SUBSISTEMA DE INVESTIGACIÓN</t>
  </si>
  <si>
    <t>SEMÁFORO</t>
  </si>
  <si>
    <t>ESTADO DE AVANCE</t>
  </si>
  <si>
    <t>INTERPRETACIÓN</t>
  </si>
  <si>
    <t>Menor a 9%</t>
  </si>
  <si>
    <t>Se ha avanzado muy poco o nada en este indicador</t>
  </si>
  <si>
    <t>Mayor o igual a 9% y menor a 20%</t>
  </si>
  <si>
    <t>Nivel aceptable del indicador</t>
  </si>
  <si>
    <t>Mayor o igual a 20% y menor que 25%</t>
  </si>
  <si>
    <t>Nivel del indicador que cumple las expectativas</t>
  </si>
  <si>
    <t>25% o más</t>
  </si>
  <si>
    <t>Nivel del indicador que satisface y supera las expectativas</t>
  </si>
  <si>
    <t>Para el año 2017 la estrategia de adoptar la problemática del consumo de SPA ha cambiado, se trabajará mas en prevención y se abordará el plan de tratamiento de forma integral.</t>
  </si>
  <si>
    <t>Profesional externa vinculada a través del contrato CPS-326-A2017, Cuyo objeto es prestar el servicio profesional de apoyo al programa de consumo de sustancias Psicoactivas y asesoria a estudiantes en programa de promoción y prevención en salud mental.</t>
  </si>
  <si>
    <r>
      <t xml:space="preserve">Los indicadores reportados durante los meses de Abril, Mayo y Junio de 2017, se alcanzaron durante la ejecución de las siguientes actividades, con los respectivos asistentes </t>
    </r>
    <r>
      <rPr>
        <b/>
        <sz val="10"/>
        <color theme="1"/>
        <rFont val="Calibri"/>
        <family val="2"/>
        <scheme val="minor"/>
      </rPr>
      <t xml:space="preserve">Abril: </t>
    </r>
    <r>
      <rPr>
        <sz val="10"/>
        <color theme="1"/>
        <rFont val="Calibri"/>
        <family val="2"/>
        <scheme val="minor"/>
      </rPr>
      <t xml:space="preserve">Dimensión Emocional (1285), Dimensión Alimentaria (220), Dimensión Clínica (31), Dimensión Física (191). </t>
    </r>
    <r>
      <rPr>
        <b/>
        <sz val="10"/>
        <color theme="1"/>
        <rFont val="Calibri"/>
        <family val="2"/>
        <scheme val="minor"/>
      </rPr>
      <t>Mayo:</t>
    </r>
    <r>
      <rPr>
        <sz val="10"/>
        <color theme="1"/>
        <rFont val="Calibri"/>
        <family val="2"/>
        <scheme val="minor"/>
      </rPr>
      <t xml:space="preserve"> Dimensión Emocional (841), Dimensión Alimentaria (732), Dimensión Clínica (27) Dimensión Física (323), Jornadas (45) Investigación (102)</t>
    </r>
  </si>
  <si>
    <t>Programación mensual , no se  han establecido la linea base y meta resultado 2017 porque  se realizando el empadronamiento censal  a los estudiantes para identificar la poblaión con diversidad funcional, en donde se hace un acercamiento a cada estudiante en condición de discapacidad física para recolectar la información requerida en el registro de  "localización y  caracterización de personas con discapacidad.</t>
  </si>
  <si>
    <t>Impartido en el Pirmer Trimestre del Semestre 2017-1</t>
  </si>
  <si>
    <t>Los acompañamiento hace referencia al número de encuentros con los estudiantes en condición de discapacidad.</t>
  </si>
  <si>
    <t>Medición mensual, son talleres de sensibilización dirigidos a estudiantes de 1 semestre, la inducción y reinducción a Docentes, Administrativos y contratistas</t>
  </si>
  <si>
    <t>Este indicador con respecto a la cobertura de beneficiarios se mide semestral.</t>
  </si>
  <si>
    <t>Las actividades son de medición mensual. Articular las diferentes actividades deportivas que realizan los programas, con la Coordinación de deportes adscrita al Área de Bienestar Institucional, con fines de consolidar la información y dar una respuesta la SUE y SNIES.</t>
  </si>
  <si>
    <r>
      <rPr>
        <b/>
        <sz val="10"/>
        <color theme="1"/>
        <rFont val="Calibri"/>
        <family val="2"/>
        <scheme val="minor"/>
      </rPr>
      <t>Abril</t>
    </r>
    <r>
      <rPr>
        <sz val="10"/>
        <color theme="1"/>
        <rFont val="Calibri"/>
        <family val="2"/>
        <scheme val="minor"/>
      </rPr>
      <t xml:space="preserve">: Puestas en escena (31) y Cne Club (14), </t>
    </r>
    <r>
      <rPr>
        <b/>
        <sz val="10"/>
        <color theme="1"/>
        <rFont val="Calibri"/>
        <family val="2"/>
        <scheme val="minor"/>
      </rPr>
      <t xml:space="preserve">Mayo: </t>
    </r>
    <r>
      <rPr>
        <sz val="10"/>
        <color theme="1"/>
        <rFont val="Calibri"/>
        <family val="2"/>
        <scheme val="minor"/>
      </rPr>
      <t xml:space="preserve">Puestas en escena (55) y Cine Club (67)  </t>
    </r>
    <r>
      <rPr>
        <b/>
        <sz val="10"/>
        <color theme="1"/>
        <rFont val="Calibri"/>
        <family val="2"/>
        <scheme val="minor"/>
      </rPr>
      <t xml:space="preserve">Junio:  </t>
    </r>
    <r>
      <rPr>
        <sz val="10"/>
        <color theme="1"/>
        <rFont val="Calibri"/>
        <family val="2"/>
        <scheme val="minor"/>
      </rPr>
      <t>Puestas en escena (18)  y Cine Club (2)</t>
    </r>
  </si>
  <si>
    <t>Ténica Vocal, Taller de Guitarra, Vientos andinos, Danzas, Teatro, Maquillaje artisticos, Percusión Latinoamericana, Percusión Folclórica, como hablar en público, fotografía y de Oratoría, entrenamiento corporal nivel 1 y 2, San Juanero Huilense.</t>
  </si>
  <si>
    <t>Grupo musical Surcolombiano, La Coral Universitaria, Grupo danzas indigenas Ninakipxh pasos del Sol, música Andina "Takirari, Música Folclórica Latinoamericana Arena Blanca, música folclórica Mayari, Grupo de núsica autóctona Las Aguilas de la Usco,Grupo de Teatro Uscolombia, grupos folclóricos y Cine Club.</t>
  </si>
  <si>
    <t>Jornada academica y cultural para el mejoramiento del Clima Organizacional en la Universidad Surcolombiana con ocasión del día de la secretaria (150). Actividad Cultual y de integración de la Comunidad Universitaria (800), Evento Cultural con ocasión del dia del maestro (600)</t>
  </si>
  <si>
    <r>
      <t xml:space="preserve">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Conforme al calendario de actividades Académico-Administativas del año 2.017 contenidas en el Acuerdo No.029 del 27 de Octubre de 2.016. Contrato </t>
    </r>
    <r>
      <rPr>
        <b/>
        <sz val="10"/>
        <color theme="1"/>
        <rFont val="Calibri"/>
        <family val="2"/>
        <scheme val="minor"/>
      </rPr>
      <t xml:space="preserve">UC-009-2017, </t>
    </r>
    <r>
      <rPr>
        <sz val="10"/>
        <color theme="1"/>
        <rFont val="Calibri"/>
        <family val="2"/>
        <scheme val="minor"/>
      </rPr>
      <t xml:space="preserve">El número de raciones proyectadas  segundo trimestre  </t>
    </r>
    <r>
      <rPr>
        <b/>
        <sz val="10"/>
        <color theme="1"/>
        <rFont val="Calibri"/>
        <family val="2"/>
        <scheme val="minor"/>
      </rPr>
      <t>135.500</t>
    </r>
    <r>
      <rPr>
        <sz val="10"/>
        <color theme="1"/>
        <rFont val="Calibri"/>
        <family val="2"/>
        <scheme val="minor"/>
      </rPr>
      <t xml:space="preserve">, versus las efectivamente entregadas </t>
    </r>
    <r>
      <rPr>
        <b/>
        <sz val="10"/>
        <color theme="1"/>
        <rFont val="Calibri"/>
        <family val="2"/>
        <scheme val="minor"/>
      </rPr>
      <t>173.841  (145%). cantidad entregadas en el primer trimestre corresponden a un 32% del total año.</t>
    </r>
  </si>
  <si>
    <r>
      <t>Corresponden al suministro de alimentarias y/o meriendas, mediante el sistema subsidiado, con destinos a los estudiantes matriculados de la Sede de Pitalito de la Universidad Surcolombiana, desde el 09 de Febrero al  02 de Junio. Proyectadas de Abril a Junio a  19.760 raciones. (520 Diarias/300 Diarias en el 2016), cumplimiento de</t>
    </r>
    <r>
      <rPr>
        <b/>
        <sz val="10"/>
        <color theme="1"/>
        <rFont val="Calibri"/>
        <family val="2"/>
        <scheme val="minor"/>
      </rPr>
      <t xml:space="preserve"> 100% </t>
    </r>
    <r>
      <rPr>
        <sz val="10"/>
        <color theme="1"/>
        <rFont val="Calibri"/>
        <family val="2"/>
        <scheme val="minor"/>
      </rPr>
      <t xml:space="preserve">respecto a lo proyectado en el trimestre y    un </t>
    </r>
    <r>
      <rPr>
        <b/>
        <sz val="10"/>
        <color theme="1"/>
        <rFont val="Calibri"/>
        <family val="2"/>
        <scheme val="minor"/>
      </rPr>
      <t>45%</t>
    </r>
    <r>
      <rPr>
        <sz val="10"/>
        <color theme="1"/>
        <rFont val="Calibri"/>
        <family val="2"/>
        <scheme val="minor"/>
      </rPr>
      <t xml:space="preserve">  del proyectado anual. </t>
    </r>
    <r>
      <rPr>
        <b/>
        <sz val="10"/>
        <color theme="1"/>
        <rFont val="Calibri"/>
        <family val="2"/>
        <scheme val="minor"/>
      </rPr>
      <t>Contrato UC-008-2017</t>
    </r>
  </si>
  <si>
    <r>
      <t>Corresponden al suministro de alimentarias y/o meriendas, mediante el sistema subsidiado, con destinos a los estudiantes matriculados de la Sede de Garzón de la Universidad Surcolombiana, desde el 09 de Febrero al  02 de Junio. Proyectadas de Abril a Junio a  6.840 raciones. (180 Diarias/150 Diarias en el 2016)  cumplimiento de</t>
    </r>
    <r>
      <rPr>
        <b/>
        <sz val="10"/>
        <color theme="1"/>
        <rFont val="Calibri"/>
        <family val="2"/>
        <scheme val="minor"/>
      </rPr>
      <t xml:space="preserve"> 118%</t>
    </r>
    <r>
      <rPr>
        <sz val="10"/>
        <color theme="1"/>
        <rFont val="Calibri"/>
        <family val="2"/>
        <scheme val="minor"/>
      </rPr>
      <t xml:space="preserve"> respecto a lo proyectado en el trimestre y    un</t>
    </r>
    <r>
      <rPr>
        <b/>
        <sz val="10"/>
        <color theme="1"/>
        <rFont val="Calibri"/>
        <family val="2"/>
        <scheme val="minor"/>
      </rPr>
      <t xml:space="preserve"> 47%</t>
    </r>
    <r>
      <rPr>
        <sz val="10"/>
        <color theme="1"/>
        <rFont val="Calibri"/>
        <family val="2"/>
        <scheme val="minor"/>
      </rPr>
      <t xml:space="preserve">  del proyectado anual. </t>
    </r>
    <r>
      <rPr>
        <b/>
        <sz val="10"/>
        <color theme="1"/>
        <rFont val="Calibri"/>
        <family val="2"/>
        <scheme val="minor"/>
      </rPr>
      <t>Contrato UC-008-2017</t>
    </r>
  </si>
  <si>
    <r>
      <t xml:space="preserve">Corresponden al suministro de alimentarias y/o meriendas, mediante el sistema subsidiado, con destinos a los estudiantes matriculados de la Sede de La Plata de la Universidad Surcolombiana, desde el 09 de Febrero al  02 de Junio. Proyectadas de Abril a Junio a  6.840 raciones. (180 Diarias/150 Diarias en el 2016)   cumplimiento de </t>
    </r>
    <r>
      <rPr>
        <b/>
        <sz val="10"/>
        <color theme="1"/>
        <rFont val="Calibri"/>
        <family val="2"/>
        <scheme val="minor"/>
      </rPr>
      <t>123%</t>
    </r>
    <r>
      <rPr>
        <sz val="10"/>
        <color theme="1"/>
        <rFont val="Calibri"/>
        <family val="2"/>
        <scheme val="minor"/>
      </rPr>
      <t xml:space="preserve"> respecto a lo proyectado en el trimestre y    un </t>
    </r>
    <r>
      <rPr>
        <b/>
        <sz val="10"/>
        <color theme="1"/>
        <rFont val="Calibri"/>
        <family val="2"/>
        <scheme val="minor"/>
      </rPr>
      <t xml:space="preserve">40% </t>
    </r>
    <r>
      <rPr>
        <sz val="10"/>
        <color theme="1"/>
        <rFont val="Calibri"/>
        <family val="2"/>
        <scheme val="minor"/>
      </rPr>
      <t xml:space="preserve"> del proyectado anual.  </t>
    </r>
    <r>
      <rPr>
        <b/>
        <sz val="10"/>
        <color theme="1"/>
        <rFont val="Calibri"/>
        <family val="2"/>
        <scheme val="minor"/>
      </rPr>
      <t>Contrato UC-008-2017</t>
    </r>
  </si>
  <si>
    <t>Teniendo en cuenta que este procedimiento es semestral, antes de recibir la relación se efectúa un cronograma de actividades en el cual se definió como fecha de entrega del informe de Estudios Socioeconómicos el 17 de Abril, se realizaron 25 entrevistas, 45 visitas domiciliarias en Neiva y en las Sedes de La Plata, Pitalito y Garzón, de las 210 solicitudes se aprobaron 182 por valor de $59.952.494 mediante resolución del 06 de Junio de 2017.</t>
  </si>
  <si>
    <t>Proyecto ejecutado presupuestalmente en un 97% en el primer trimestre, por lo cual no genero indicador</t>
  </si>
  <si>
    <t>Subsis-tema</t>
  </si>
  <si>
    <t>Proyectos</t>
  </si>
  <si>
    <t>Acciones</t>
  </si>
  <si>
    <t>Línea de Base</t>
  </si>
  <si>
    <t>Meta de Resultado</t>
  </si>
  <si>
    <t>Metas de Producto (%)</t>
  </si>
  <si>
    <t>FORMACIÓN</t>
  </si>
  <si>
    <t>PY.1 Identidad con la teleología institucional</t>
  </si>
  <si>
    <t>Actividade de Inducción y Reinducción con estudiantes, profesores y administrativos.</t>
  </si>
  <si>
    <t>PY. 2 Creación de nueva oferta académica en las Sedes</t>
  </si>
  <si>
    <t>Pregrado</t>
  </si>
  <si>
    <t>Maestría</t>
  </si>
  <si>
    <t>Doctorado</t>
  </si>
  <si>
    <t>PY.3  Desarrollo profesoral permanente en lo pedagógico, disciplinar y profesional</t>
  </si>
  <si>
    <t>maestría</t>
  </si>
  <si>
    <t>capacitación en estrategias pedagógicas</t>
  </si>
  <si>
    <t xml:space="preserve">PY.4 Autoevaluación permanente  de programas de pregrado y postgrado </t>
  </si>
  <si>
    <t>pregrados</t>
  </si>
  <si>
    <t>postgrados</t>
  </si>
  <si>
    <t>PY.5 Acreditación de alta calidad de la Universidad</t>
  </si>
  <si>
    <t>Alistamiento de la USCO como Sistema en todos sus componentes</t>
  </si>
  <si>
    <t>PY.6 Relevo generacional con excelencia académica</t>
  </si>
  <si>
    <t>Graduados con identificación de potencial</t>
  </si>
  <si>
    <t>PY. 9 Fortalecimiento de los vínculos universidad - egresados</t>
  </si>
  <si>
    <t>Apoyar la realización de eventos y actividades de interacción e integración con egresados</t>
  </si>
  <si>
    <t>Metas Anuales</t>
  </si>
  <si>
    <t>Subsistema</t>
  </si>
  <si>
    <t>INVESTIGACIÓN</t>
  </si>
  <si>
    <t>PY.1 Fortalecimiento de las capacidades de investigación, desarrollo e innovación</t>
  </si>
  <si>
    <t>Adquisición, mantenimiento y repotenciación de equipos especializados para investigación</t>
  </si>
  <si>
    <t>Adquisición y renovación licenciamientos  software especializado para investigación</t>
  </si>
  <si>
    <t xml:space="preserve">Finalización de tesis de maestrias, doctorados,postdoctorados;  pasantías y estancias internacionales para investigación. </t>
  </si>
  <si>
    <t>PY.2 Calidad Académica y formación en Investigación</t>
  </si>
  <si>
    <t>Talleres de evaluación y reformulación de microcurrículos</t>
  </si>
  <si>
    <t xml:space="preserve">Gestión y apoyo para la calidad académica y formación en investigación </t>
  </si>
  <si>
    <t>Sensibilización y acciones conjuntas en proyectos de investigación ONDAS</t>
  </si>
  <si>
    <t>Formulación y ejecución de proyectos articulados GRUPOS - PROGRAMA ONDAS</t>
  </si>
  <si>
    <t>Desarrollo de eventos académicos</t>
  </si>
  <si>
    <t>Capacitación y participación en eventos, investigadores USCO en proceso de formación</t>
  </si>
  <si>
    <t>PY.3 Calidad Académica y formación a través de la Investigación</t>
  </si>
  <si>
    <t>Proyectos de investigación en la modalidad de trabajos de grado</t>
  </si>
  <si>
    <t>Proyectos de investigación ejecutados por Semilleros de investigación</t>
  </si>
  <si>
    <t>Financiar la vinculación de jóvenesinvestigadores adscritos a grupos de investigación</t>
  </si>
  <si>
    <t>PY.4 Calidad Académica y ejecución de Investigación</t>
  </si>
  <si>
    <t xml:space="preserve">Financiar la ejecución de proyectos de investigación </t>
  </si>
  <si>
    <t>Gestión y apoyo a la ejecución de proyectos de investigación</t>
  </si>
  <si>
    <t xml:space="preserve">PY.5 Calidad Académica y gestión de Investigación </t>
  </si>
  <si>
    <t>Convenios cofinanciados</t>
  </si>
  <si>
    <t>PY.6 Articulación del Sistema Integrado de Información (TICs)</t>
  </si>
  <si>
    <t>Desarrollo aplicativo para gestión en investigación</t>
  </si>
  <si>
    <t xml:space="preserve">Gestión y apoyo para el desarrollo del aplicativo en gestión </t>
  </si>
  <si>
    <t xml:space="preserve">PY.7 Evaluación, dotación y consolidación de los Centros de Documentación, archivística y bases de datos  </t>
  </si>
  <si>
    <t>Adquisición o renovación bases de datos especializadas</t>
  </si>
  <si>
    <t>PY.8 Creación de Centros, Institutos de investigación, desarrollo Tecnológico e Innovación</t>
  </si>
  <si>
    <t>Fortalecimiento y creación de Centros de Investigación</t>
  </si>
  <si>
    <t>PY.9 Fortalecimiento  de las publicaciones científicas  y académicas de la Universidad.</t>
  </si>
  <si>
    <t>evaluación de articulos, diseño, diagramación, impresión  y publicación de revistas institucionales</t>
  </si>
  <si>
    <t>Curso - talleres en preparacion de libros de investigacion y articulos para revistas indexadas.</t>
  </si>
  <si>
    <t>evaluación, diseño, diagramación, impresión  y publicación de libros en las diferentes modalidades</t>
  </si>
  <si>
    <t>Gestión para el diseño, diagramación y publicación de revistas institucionales y libros</t>
  </si>
  <si>
    <t>PY. 1 Internacionalización Académica, Curricular y Administrativa</t>
  </si>
  <si>
    <t>Fomento y consolidación de la cultura de la internacionalización</t>
  </si>
  <si>
    <t>Apoyo para la Internacionalización de los  curriculos</t>
  </si>
  <si>
    <t>Apoyo a la movilidad académica de Docentes, Estudiantes y Personal Administrativo</t>
  </si>
  <si>
    <t>Apoyo a la internacionalización de la Investigación y la Proyección Social</t>
  </si>
  <si>
    <t>PY. 2 Regionalización de la Usco</t>
  </si>
  <si>
    <t>Implementación de la estratégia de regionalización de la Universidad</t>
  </si>
  <si>
    <t>PY. 3 Reformulación y fortalecimiento de las modalidades y formas de Proyección Social</t>
  </si>
  <si>
    <t>Macroproyectos de Proyección Social cofinanciados por la Universidad Surcolombiana</t>
  </si>
  <si>
    <t>Proyectos Solidarios de menor cuantia cofinanciados por la Universidad Surcolombiana</t>
  </si>
  <si>
    <t>Apoyo lógistico a actividades de Responsabilidad Social Universitaria</t>
  </si>
  <si>
    <t xml:space="preserve">Apoyo a la realización de eventos de Proyección Social </t>
  </si>
  <si>
    <t>Apoyo cursos de Formación continuada a egresados</t>
  </si>
  <si>
    <t>Apoyo financiero a la suscripción de convenios interinstitucionales</t>
  </si>
  <si>
    <t>Apoyo anual para el fortalecimiento y consolidación del Programa de Gestión Tecnológica</t>
  </si>
  <si>
    <t>PY. 4 Estructuración y desarrollo de las Unidades de Atención Especializada y de Emprendimiento e Innovación Institucional</t>
  </si>
  <si>
    <t>Implementación y operacionalización de la Unidad de Emprendimiento e Innovación</t>
  </si>
  <si>
    <t>PY. 5 Consolidación de la Alianza Estratégica Estado-Universidad-Empresa-Ciudadanía</t>
  </si>
  <si>
    <t>Proyectos Universidad, Empresa, Estado, Sociedad, financiados y cofinanciados por la Universidad</t>
  </si>
  <si>
    <t>Apoyo a la cofinanciación de proyectos de la alianza Universidad, Empresa, Estado, Sociead</t>
  </si>
  <si>
    <t>PY. 6 Estructuración y Desarrollo de la Agenda Social Regional</t>
  </si>
  <si>
    <t>1 Documento de acuerdos y compromisos de actores sociales con propuestas de políticas públicas del departamento del Huila</t>
  </si>
  <si>
    <t>Creación y puesta en funcionamiento de del Observatorio de medios sobre políticas públicas</t>
  </si>
  <si>
    <t xml:space="preserve">1 Proyecto de Acuerdo por medio del cual se crea el instituto de Estudios Surcolombianos </t>
  </si>
  <si>
    <t>PY. 7 Articulación de la Educación Superior con la Educación Media, el trabajo y el desarrollo humano</t>
  </si>
  <si>
    <t>Apoyo a los procesos de integración de la Educación Superior con la Educación Media, el trabajo y el desarrollo humano</t>
  </si>
  <si>
    <t>Programas de formación para el trabajo y el desarrollo humano con procesos de interacción de la Educación Superior con la Educación Media</t>
  </si>
  <si>
    <t>PY. 8 Fortalecimiento del sistema de comunicación e información institucional</t>
  </si>
  <si>
    <t>Plan Estratégico de Comunicaciones</t>
  </si>
  <si>
    <t>Manual de Identidad de Imagen de la USCO</t>
  </si>
  <si>
    <t>100% Cambio de marca Institucional</t>
  </si>
  <si>
    <t>Hosting y Dominio</t>
  </si>
  <si>
    <t>Fortalecimiento de medios audiovisuales institucionales</t>
  </si>
  <si>
    <t>BIENESTAR   UNIVERSITARIO</t>
  </si>
  <si>
    <t>PY. 1  Universidad Saludable</t>
  </si>
  <si>
    <t>Consultas de servicio médico</t>
  </si>
  <si>
    <t>consultas odontológicas</t>
  </si>
  <si>
    <t>consultas psicológicas</t>
  </si>
  <si>
    <t>Actividades de Higiene y seguridad industrial</t>
  </si>
  <si>
    <t>Actividades de Preventivas</t>
  </si>
  <si>
    <t>Salud ocupacional</t>
  </si>
  <si>
    <t>PY. 2  Recreación y Deportes con responsabilidad y compromiso</t>
  </si>
  <si>
    <t>Deporte y recreación (cobertura por servicios prestados)</t>
  </si>
  <si>
    <t>Beneficiarios de actividades deportivas</t>
  </si>
  <si>
    <t>Actividades deportivas</t>
  </si>
  <si>
    <t>PY. 3 Cultura con responsabilidad y compromiso</t>
  </si>
  <si>
    <t>Extensión cultural - Eventos</t>
  </si>
  <si>
    <t>Extensión cultural - número de participantes</t>
  </si>
  <si>
    <t>Talleres de formación</t>
  </si>
  <si>
    <t>Grupos artísticos</t>
  </si>
  <si>
    <t>PY. 4  Desarrollo Humano con responsabilidad y compromiso</t>
  </si>
  <si>
    <t>Eventos y sesiones relacionadas con el clima organizacional</t>
  </si>
  <si>
    <t>PY. 5  Desarrollo Socio-Económico con responsabilidad y compromiso</t>
  </si>
  <si>
    <t>Estudios socioeconómicos</t>
  </si>
  <si>
    <t>Servicio de restaurante Neiva (desayuno, almuerzo y cena)</t>
  </si>
  <si>
    <t>Servicio de restaurante sedes (merienda)</t>
  </si>
  <si>
    <t>Inclusión estudiantil - apoyo económico a estudiantes de pregrado MEN</t>
  </si>
  <si>
    <t>Apoyo socioeconómico a estudiantes de pregrado</t>
  </si>
  <si>
    <t>Inclusión estudiantil - apoyo económico a estudiantes de postgrado</t>
  </si>
  <si>
    <t>PY. 6  Promoción de la Permanencia y Graduación estudiantil en la Usco</t>
  </si>
  <si>
    <t>Número de estudiantes Activos</t>
  </si>
  <si>
    <t>PY.1  Revisión, reforma y actualización de la plataforma jurídico-normativa institucional.</t>
  </si>
  <si>
    <t xml:space="preserve">Revisión y ajuste de normativa institucional acorde a las normas nacionales  </t>
  </si>
  <si>
    <t xml:space="preserve">PY.2  Desarrollo, construcción, dotación y mantenimiento de las Sedes </t>
  </si>
  <si>
    <t>Edificios modernos o No Patrimoniales</t>
  </si>
  <si>
    <t>Zonas deportivas, senderos, y zonas de esparcimiento</t>
  </si>
  <si>
    <t>Planta física adecuada para personal discapacitado</t>
  </si>
  <si>
    <t>Edificaciones adecuadas con normas de sismo resistencia</t>
  </si>
  <si>
    <t>Mantenimiento Infraestructura Física</t>
  </si>
  <si>
    <t>Internet</t>
  </si>
  <si>
    <t>Redes de voz y datos cableada</t>
  </si>
  <si>
    <t>Redes de voz y datos inalámbrica</t>
  </si>
  <si>
    <t>Equipos de computo (Docentes)</t>
  </si>
  <si>
    <t>Equipos de computo (Estudiantes)</t>
  </si>
  <si>
    <t>Aulas con tecnología audiovisual</t>
  </si>
  <si>
    <t>Equipos de Laboratorio</t>
  </si>
  <si>
    <t>Recursos Bibliográficos (libros)</t>
  </si>
  <si>
    <t>Recursos Bibliográficos (Bases de datos)</t>
  </si>
  <si>
    <t>100% actualizadas</t>
  </si>
  <si>
    <t>Dotación de aulas</t>
  </si>
  <si>
    <t>Sistema de Gestión de la Calidad</t>
  </si>
  <si>
    <t>Sistema de Gestión Ambiental</t>
  </si>
  <si>
    <t>Equipos de computo adtivos.</t>
  </si>
  <si>
    <t xml:space="preserve">Mantenimiento de Equipos </t>
  </si>
  <si>
    <t>Seguridad electrónica</t>
  </si>
  <si>
    <t>Dotación oficinas</t>
  </si>
  <si>
    <t>Formación y Capacitación al personal administrativo y Operativo</t>
  </si>
  <si>
    <t>PY. 3 Aseguramiento de los Sistemas de Gestión de Calidad y Gestión Ambiental</t>
  </si>
  <si>
    <t>Apoyo al proceso de mejoramiento continuo y de Acreditación Institucional</t>
  </si>
  <si>
    <t>PY. 4 Creación del Grupo de Proyectos Institucionales Especiales (GPIE)</t>
  </si>
  <si>
    <t>Conformación y consolidación del GPIE</t>
  </si>
  <si>
    <t>PY 5.  Reestructuración Organizacional académica y administrativa</t>
  </si>
  <si>
    <t>Conformación y operación del Comité de Reestructuración.</t>
  </si>
  <si>
    <t>Estudio y propuesta del Proyecto</t>
  </si>
  <si>
    <t>Implementación de la Regulación normativa interna de la reestructuración.</t>
  </si>
  <si>
    <t>PY.6  Desconcentración y delegación de los procesos administrativos y académicos</t>
  </si>
  <si>
    <t>Normas que permitan desconcentración y delegación</t>
  </si>
  <si>
    <t>PY. 7 Formación y Capacitación del Personal Administrativo y Operativo</t>
  </si>
  <si>
    <t>Capacitaciones al personal administrativo y operativo en asuntos tendientes a la acreditación institucional</t>
  </si>
  <si>
    <t>Menor a 16%</t>
  </si>
  <si>
    <t>Mayor o igual a 16% y menor a 37%</t>
  </si>
  <si>
    <t>Mayor o igual a 37% y menor que 50%</t>
  </si>
  <si>
    <t>50% o más</t>
  </si>
  <si>
    <t>Menor a 25%</t>
  </si>
  <si>
    <t>Mayor o igual a 25% y menor a 56%</t>
  </si>
  <si>
    <t>Mayor o igual a 56% y menor que 74%</t>
  </si>
  <si>
    <t>75% o más</t>
  </si>
  <si>
    <t>Menor a 33%</t>
  </si>
  <si>
    <t>Mayor o igual a 34% y menor a 75%</t>
  </si>
  <si>
    <t>Mayor o igual a 76% y menor que 99%</t>
  </si>
  <si>
    <t>100% o más</t>
  </si>
  <si>
    <t>Sin meta para el 2015</t>
  </si>
  <si>
    <t>Acción sin meta en el PDI para el 2015</t>
  </si>
  <si>
    <t>PY1</t>
  </si>
  <si>
    <t>PY2</t>
  </si>
  <si>
    <t>PY3</t>
  </si>
  <si>
    <t>PY4</t>
  </si>
  <si>
    <t>PY5</t>
  </si>
  <si>
    <t>PY7</t>
  </si>
  <si>
    <t>Rojo</t>
  </si>
  <si>
    <t>Amarillo</t>
  </si>
  <si>
    <t>Verde</t>
  </si>
  <si>
    <t>Azul</t>
  </si>
  <si>
    <t>Total</t>
  </si>
  <si>
    <t>Recursos Asignados</t>
  </si>
  <si>
    <t>Recursos Ejecutados</t>
  </si>
  <si>
    <t>PY6</t>
  </si>
  <si>
    <t>RESULTADO TRIMESTRE</t>
  </si>
  <si>
    <t>TRIMESTRE 2</t>
  </si>
  <si>
    <t>TRIMESTRE 1</t>
  </si>
  <si>
    <t>PY8</t>
  </si>
  <si>
    <t>SI-PY1.7</t>
  </si>
  <si>
    <t>Recurso asignado a las Facultades ´para Clima Organizacional y cuya ejecución y responsables corresponden a las mismas.</t>
  </si>
  <si>
    <t xml:space="preserve">Se aumentó las solicitudes de citas, siendo importante las remisiones de alertas tempranas para así mismo darle seguimiento a las dificultades presentadas por los estudiantes.Dentro de las actividades adelantas desde el servicio de psicología, se desarrollaron 4 para el semestre, estas son   propuestas desde las necesidades reportadas institucionalmente por las principales impresiones diagnosticas identificadas por el servicio de Psicología de la Universidad. 
Estas campañas son: Prevención del Bullying, Equidad de Género, Prevención del Consumo de SPA, Promoción de la Salud Mental (Felicidad Vs Depresión) y Prevención de Sexualidad de Alto Riesgo (VIH).
</t>
  </si>
  <si>
    <t>La Actividad de Consulta de Medicina General , los cuales no incluyen las consultas de examen de admisión ni las campañas de actividad de promoción y prevención. Información Según certificación adjunta .</t>
  </si>
  <si>
    <t>De acuerdo con los nuevos lineamientos los examenes de ingreso no son obligatorios a partir del 2017-1 por lo tanto se seguiran realizando consultas de diagnostico o determeninación de riesgo a los estudiantes que soliciten el servicio. Por lo que se vera reflejado en las actividades de atención</t>
  </si>
  <si>
    <t>Medición Semestral. Programas de alertas tempranas dirigido a estudiantes del primer semestre</t>
  </si>
  <si>
    <t>PROMEDIO</t>
  </si>
  <si>
    <t xml:space="preserve">EFICACIA  </t>
  </si>
  <si>
    <t xml:space="preserve">EFICIENCIA $ </t>
  </si>
  <si>
    <t>EFICIENCIA   $</t>
  </si>
  <si>
    <t xml:space="preserve">EFICIENCIA $  </t>
  </si>
  <si>
    <t>EFICIENCIA $</t>
  </si>
  <si>
    <t>ENERO</t>
  </si>
  <si>
    <t>FEBRERO</t>
  </si>
  <si>
    <t>MARZO</t>
  </si>
  <si>
    <t>SB-PY1.8</t>
  </si>
  <si>
    <t>Talleres de Formación</t>
  </si>
  <si>
    <t>Grupos Artísticos</t>
  </si>
  <si>
    <t>Presupuesto Incial</t>
  </si>
  <si>
    <t>RUBLO</t>
  </si>
  <si>
    <t>Total Asignado</t>
  </si>
  <si>
    <t>SF-PY1</t>
  </si>
  <si>
    <t>SF-PY2</t>
  </si>
  <si>
    <t>SF-PY3</t>
  </si>
  <si>
    <t>SF-PY4</t>
  </si>
  <si>
    <t>SF-PY5</t>
  </si>
  <si>
    <t>SF-PY6</t>
  </si>
  <si>
    <t>SF-PY7</t>
  </si>
  <si>
    <t>Proyecto</t>
  </si>
  <si>
    <t>Asignado</t>
  </si>
  <si>
    <t>Ejecutado</t>
  </si>
  <si>
    <t>Saldo</t>
  </si>
  <si>
    <t>TOTAL</t>
  </si>
  <si>
    <t>1 Trimestre Subsistema Investigación</t>
  </si>
  <si>
    <t>1 Trimestre Subsistema Adminsitrativo</t>
  </si>
  <si>
    <t>SI-PY1</t>
  </si>
  <si>
    <t>SI-PY2</t>
  </si>
  <si>
    <t>SI-PY3</t>
  </si>
  <si>
    <t>SI-PY4</t>
  </si>
  <si>
    <t>SI-PY5</t>
  </si>
  <si>
    <t>SI-PY6</t>
  </si>
  <si>
    <t>SI-PY7</t>
  </si>
  <si>
    <t>SI-PY8</t>
  </si>
  <si>
    <t>SI-PY9</t>
  </si>
  <si>
    <t>SP-PY4.3</t>
  </si>
  <si>
    <t>Modernización de la Innovación y/o emprendimiento en el Plan de Estudios.</t>
  </si>
  <si>
    <t>SP-PY4.4</t>
  </si>
  <si>
    <t>Dotación, compra de material P.O.P, Didactico y Bibliografico de la Unidad de Emprendimiento.</t>
  </si>
  <si>
    <t>SP-PY4.5</t>
  </si>
  <si>
    <t>Apoyo en la gestión de proyectos de emprendimiento e innovación.</t>
  </si>
  <si>
    <t>SP-PY4.6</t>
  </si>
  <si>
    <t xml:space="preserve">Selección y formalización del equipo de trabajo.  </t>
  </si>
  <si>
    <t>SP-PY4.7</t>
  </si>
  <si>
    <t>Movilidad Visitas Institucionales, Nacionales e Internacionales.</t>
  </si>
  <si>
    <t>SP-PY1</t>
  </si>
  <si>
    <t>SP-PY2</t>
  </si>
  <si>
    <t>SP-PY3</t>
  </si>
  <si>
    <t>SP-PY4</t>
  </si>
  <si>
    <t>SP-PY5</t>
  </si>
  <si>
    <t>SP-PY6</t>
  </si>
  <si>
    <t>SP-PY7</t>
  </si>
  <si>
    <t>SP-PY8</t>
  </si>
  <si>
    <t>1 Trimestre Subsistema Proyección Social</t>
  </si>
  <si>
    <t>1 Trimestre Subsistema Bienestar</t>
  </si>
  <si>
    <t>Actividades Culturales de todas las Sedes.</t>
  </si>
  <si>
    <t>Prestación de servicio de restaurante a los estudiantes en las Sedes.</t>
  </si>
  <si>
    <t>SB-PY1</t>
  </si>
  <si>
    <t>SB-PY2</t>
  </si>
  <si>
    <t>SB-PY3</t>
  </si>
  <si>
    <t>SB-PY4</t>
  </si>
  <si>
    <t>SB-PY5</t>
  </si>
  <si>
    <t>SB-PY6</t>
  </si>
  <si>
    <t>1 Trimestre Subsistema Administrativo</t>
  </si>
  <si>
    <t>SA-PY2a</t>
  </si>
  <si>
    <t>SA-PY2b</t>
  </si>
  <si>
    <t>SA-PY2c</t>
  </si>
  <si>
    <t>SA-PY3</t>
  </si>
  <si>
    <t>SA-PY5</t>
  </si>
  <si>
    <t>SA-PY7</t>
  </si>
  <si>
    <t>2 Trimestre Subsistema Investigación</t>
  </si>
  <si>
    <t>2 Trimestre Subsistema Proyección Social</t>
  </si>
  <si>
    <t>FEBEBRO</t>
  </si>
  <si>
    <t>1 Adicion R 031/2017</t>
  </si>
  <si>
    <t>Tralado</t>
  </si>
  <si>
    <t>2 Adicion R 062</t>
  </si>
  <si>
    <t>Traslado</t>
  </si>
  <si>
    <t>Sub Sistema</t>
  </si>
  <si>
    <t>SF</t>
  </si>
  <si>
    <t>SI</t>
  </si>
  <si>
    <t>SP</t>
  </si>
  <si>
    <t>SB</t>
  </si>
  <si>
    <t>SA</t>
  </si>
  <si>
    <t>PRIMER TRIMESTRE</t>
  </si>
  <si>
    <t>1 Adicion R 095</t>
  </si>
  <si>
    <t>Excedentes Facultades</t>
  </si>
  <si>
    <t>Excedentes Cnaturales</t>
  </si>
  <si>
    <t>Excedentes Salud</t>
  </si>
  <si>
    <t>SA-PY 1.1</t>
  </si>
  <si>
    <t>Excedentes Educación</t>
  </si>
  <si>
    <t>Excedentes USCO</t>
  </si>
  <si>
    <t>Excedentes Dactorados</t>
  </si>
  <si>
    <t>Creditos</t>
  </si>
  <si>
    <t>Contracreditos</t>
  </si>
  <si>
    <t>Estrategia de integración al postconflicto desde la salud regional.</t>
  </si>
  <si>
    <t>Creditos Excedentes Facultad</t>
  </si>
  <si>
    <t>Contracerdito Excedentes Facultad</t>
  </si>
  <si>
    <t>SF-PY6.2</t>
  </si>
  <si>
    <t>Evaluar y reformar la actual política de relevo generacional con base en criterios de excelencia académica, edad, otros (Documento aprobado). Proceso Acreditación.</t>
  </si>
  <si>
    <t>TOTAL ASIGNADO</t>
  </si>
  <si>
    <t>Sumsistema</t>
  </si>
  <si>
    <t>2 Trimestre Subsistema Bienestar</t>
  </si>
  <si>
    <t>Promedio</t>
  </si>
  <si>
    <t>Ejecución</t>
  </si>
  <si>
    <t>PY9</t>
  </si>
  <si>
    <t>2 Trimestre Subsistema Formación</t>
  </si>
  <si>
    <t xml:space="preserve">2 Trimestre </t>
  </si>
  <si>
    <t>JULIO</t>
  </si>
  <si>
    <t>AGOSTO</t>
  </si>
  <si>
    <t>SEPTIEMBRE</t>
  </si>
  <si>
    <t>2 Trimestre Subsistema Administrativo</t>
  </si>
  <si>
    <t>3 Trimestre Subsistema Formación</t>
  </si>
  <si>
    <t>3 Trimestre Subsistema Investigación</t>
  </si>
  <si>
    <t>3 Trimestre Subsistema Proyección Social</t>
  </si>
  <si>
    <t>3 Trimestre Subsistema Bienestar</t>
  </si>
  <si>
    <t>3 Trimestre Subsistema Administrativo</t>
  </si>
  <si>
    <t xml:space="preserve">3 Trimestre </t>
  </si>
  <si>
    <t>2 trimestre</t>
  </si>
  <si>
    <t>3 trimestre</t>
  </si>
  <si>
    <t>2 TRIMESTRE</t>
  </si>
  <si>
    <t>PY2A</t>
  </si>
  <si>
    <t>PY2B</t>
  </si>
  <si>
    <t>PYC</t>
  </si>
  <si>
    <t>Se informo a las siete facultades mediante E-mail la existencia del Rubro en la que deberan presentar una propuesta de cursos Afines al objetivo de la actividad.</t>
  </si>
  <si>
    <t xml:space="preserve">• APOYO PARA MANUTENCIÓN CON EL FIN DE PARTICIPAR COMO PONENTE  DELAS DINÁMICAS DE CONFIGURACIÓN TERRITORIAL
• APOYO PARA MANUTENCIÓN CON EL FIN DE ASISTIR AL CONGRESO INTERNACIONAL ANCAR 2017
• VIÁTICOS, INSCRIPCIÓN Y PASAJES AÉREOS CON EL FIN DE ASISTIR AL I ENCUENTRO LATINOAMERICANO DE ENSEÑAR APRENDIENDO
• PASAJES AÉREOS CON EL FIN DE ASISTIR A UNA PASANTÍA DE LA UNIVERSIDAD AUTÓNOMA DE MÉXICO 
• INSCRIPCIÓN Y MANUTENCIÓN CON EL FIN DE PARTICIPAR COMO ASISTENTE A EVENTO 39TH LEGUAJE TE STING RESECAR
• INSCRIPCIÓN Y MANUTENCIÓN CON EL FIN DE PARTICIPAR COMO ASISTENTE A EVENTO 39TH LEGUAJE TE STING RESECAR
• INSCRIPCIÓN, VIÁTICOS Y PASAJES TERRESTRES PARA PARTICIPAR EN EL XVIII CONGRESO INTERNACIONAL ALFA
• EX CD. FACA. INGENIERÍA - INSCRIPCIÓN PARA ASISTIR AL ENCUENTRO INTERNACIONAL DE EDUCACIÓN EN INGENIERÍA
• EX CD. FACA. INGENIERÍA - INSCRIPCIÓN PARA ASISTIR AL ENCUENTRO INTERNACIONAL DE EDUCACIÓN EN INGENIERÍA
• INSCRIPCIÓN PARA LA PARTICIPACIÓN DE DOCENTE AL IX CONGRESO INTERNACIONAL DE SALUD PUBLICA A REALIZARSE EN MEDELLÍN - UNIVERSIDAD DE ANTIOQUIA
• INSCRIPCIÓN PARA PARTICIPAR COMO PONENTE DEL EVENTO HUILA Y ANTIOQUIA FRENTE A LAS FORMAS EDUCATIVAS
• INSCRIPCIÓN Y MANUTENCIÓN CON EL FIN DE ASISTIR AL CURSO DE ACTUALIZACIÓN EN INMUNOLOGÍA DE TRASPLANTES
• EX CD. FACIE - APOYO ECONÓMICO PARA ASISTIR A ASESORÍA DE DOCTORADO Y AL CONGRESO REGIONAL TODOS LAS SABERES EN LA ERAN BOGOTÁ
• APOYO ECONÓMICO PARA VIÁTICOS CON EL FIN DE ASISTIR A LA ASESORÍA DE TESIS DOCTORADO 
• APOYO ECONÓMICO PARA VIÁTICOS CON EL FIN DE PARTICIPAR DEL CONGRESO REGIONAL DE TODOS LOS SABERES EN LA UNIVERSIDAD ERAN
• INSCRIPCIÓN PARA PARTICIPAR EN DIPLOMADO "MÉTODOS ESTADÍSTICOS PARA ANÁLISIS DE DATOS APOYADO EN EXCEL" UNIVERSIDAD SURCOLOMBIANA
• INSCRIPCIÓN PARA PARTICIPAR EN DIPLOMADO "MÉTODOS ESTADÍSTICOS PARA ANÁLISIS DE DATOS APOYADO EN EXCEL" UNIVERSIDAD SURCOLOMBIANA
• INSCRIPCIÓN PARA ASISTIR AL CONGRESO COLOMBIANO DE PSICOLOGÍA "PSICOLOGÍA Y CONSTRUCCIÓN DE PAZ" A REALIZARSE EN MEDELLÍN JULIÁN ALBERTO VANEGAS
• MANUTENCIÓN Y PASAJES TERRESTRES CON EL FIN DE PARTICIPAR EN EL XVIII CONGRESO INTERNACIONAL ALFA 2017
• EX CD. FACA. INGENIERÍA - INSCRIPCIÓN CON EL FIN DE PARTICIPAR DEL ENCUENTRO INTERNACIONAL DE EDUCACIÓN
• MANUTENCIÓN E INSCRIPCIÓN CON EL FIN DE PARTICIPAR COMO PONENTE A LA XXXI REUNIÓN LATINOAMERICANA DE MATEMÁTICAS
• VIÁTICOS, INSCRIPCIÓN Y PASAJES AÉREOS PARA PARTICIPAR EN EL CURSO ARCÁIS NIVEL 2 
• VIÁTICOS Y PASAJES TERRESTRES PARA ASISTIR A REUNIÓN ANUAL DE LA ASOCIACIÓN COLOMBIANA DE HERBARIOS
• VIÁTICOS Y PASAJES TERRESTRES PARA ASISTIR AL I TALLER NACIONAL DE PROYECTO GENERO EN LA INFANCIA
• VIÁTICOS, INSCRIPCIÓN Y PASAJES TERRESTRES PARA PARTICIPAR EN EL XIV CONGRESO COLOMBIANO DE ICTIOLOGÍA
• APOYO ECONÓMICO PARA PASAJES AÉREOS CON EL FIN DE ASISTIR AL I CONGRESO LATINOAMERICANO DE INVESTIGACIÓN 
• VIÁTICOS, INSCRIPCIÓN Y PASAJES TERRESTRES CON EL FIN DE ASISTIR A CONGRESO COLOMBIANO DE PSICOLOGÍA
• INSCRIPCIÓN PARA LA PARTICIPACIÓN AL ENCUENTRO INTERNACIONAL DE EDUCACIÓN EN INGENIERÍA
• VIÁTICOS E INSCRIPCIÓN CON EL FIN DE ASISTIR AL XI CONGRESO COLOMBIANO DE MÉTODOS NUMÉRICOS 2017
• APOYO ECONÓMICO PARA MANUTENCIÓN E INSCRIPCIÓN PARA PARTICIPAR EN EL XXXI CONGRESO DE PATOLOGÍA
• APOYO ECONÓMICO PARA MANUTENCIÓN E INSCRIPCIÓN PARA PARTICIPAR EN EL XXXI CONGRESO DE PATOLOGÍA
• APOYO ECONÓMICO PARA PASAJES AÉREOS CON EL FIN DE PARTICIPAR EN CONGRESO INTERNACIONAL DE TERRITORIOS Y ÉTICA
• APOYO ECONÓMICO PARA MANUTENCIÓN CON EL FIN DE ASISTIR AL WORD CONGRESOS OF SUGERÍ BASE SWITZERLAND 
• APOYO ECONÓMICO PARA MANUTENCIÓN CON EL FIN DE ASISTIR AL WORD CONGRESOS OF SUGERÍ BASE SWITZERLAND 
• APOYO ECONÓMICO PARA MANUTENCIÓN CON EL FIN DE ASISTIR A SEMINARIO INTERNACIONAL DE INVESTIGACIÓN Y POSTGRADOS
• APOYO ECONÓMICO PARA MANUTENCIÓN E INSCRIPCIÓN CON EL FIN DE ASISTIR AL X CONGRESO INTERNACIONAL DE DERECHO
• PASAJES AÉREOS CON EL FIN DE ASISTIR AL VIII SEMINARIO INTERNACIONAL USO RACIONAL DEL AGUA
• VIÁTICOS Y PASAJES AÉREOS CON EL FIN DE ASISTIR AL 43 CONGRESO NACIONAL DE AVANCES EN CIRUGÍA
• APOYO ECONÓMICO PARA PASAJES AÉREOS CON EL FIN DE ASISTIR AL IR CONGRESO INTERNACIONAL DE LACTANCIA MATERNA
• VIÁTICOS CON EL FIN DE ASISTIR AL 1ER CONGRESO INTERNACIONAL DE LACTANCIA MATERNA 
• EX CD. FACA. INGENIERÍA - INSCRIPCIÓN PARA ASISTIR AL 3ER CONGRESO IEEE DE CONTROL AUTOMÁTICO A REALIZARSE EN LA CIUDAD DE CARTAGENA
• APOYO ECONÓMICO PARA INSCRIPCIÓN, PASES TERRESTRES Y MANUTENCIÓN CON EL FIN DE ASISTIR COMO PONENTE
• APOYO ECONÓMICO PARA PASAJES TERRESTRES Y MANUTENCIÓN CON EL FIN DE PARTICIPAR EN EL XI CONGRESO COLOMBIANO
• MANUTENCIÓN PASA ASISTIR AL IV CONGRESO CIENTÍFICO INTERNACIONAL DE ENFERMERÍA
• APOYO ECONÓMICO PARA INSCRIPCIÓN Y MANUTENCIÓN CON EL FIN DE ASISTIR AL CONGRESO INTERNACIONAL
• PAGO DE INSCRIPCIÓN AL DIPLOMADO DOCENCIA UNIVERSITARIA QUE REALIZARA DOCENTE DEL PROGRAMA DE INGENIERÍA AGRÍCOLA
• PAGO DE INSCRIPCIÓN AL DIPLOMADO DOCENCIA UNIVERSITARIA QUE REALIZARA DOCENTE DEL PROGRAMA DE INGENIERÍA AGRÍCOLA
• EX CD. FACIE - APOYO ECONÓMICO A DOCENTE RUBÉN DARÍO VALBUENA PARA REALIZAR PASANTÍA SOBRE ASPECTOS NUTRICIONALES EN PECES EN BRASIL
• APOYO ECONÓMICO PARA MANUTENCIÓN CON EL FIN DE ASISTIR COMO PONENTE A III CONGRESO INTERNACIONAL
• APOYO ECONÓMICO PARA MANUTENCIÓN CON EL FIN DE ASISTIR COMO PONENTE A III CONGRESO INTERNACIONAL
• VIÁTICOS CON EL FIN DE ASISTIR COMO PONENTE AL CONSEJO LATINOAMERICANO DE EDUCACIÓN POR EL ARTE
• APOYO ECONÓMICO PARA PASAJES AÉREOS CON EL FIN DE PARTICIPAR EN EL CONGRESO COLOMBIANO DE PSICOLOGÍA
• INSCRIPCIÓN PARA ASISTIR AL X CONGRESO BOLIVARIANO DE LILAC Y EL XXXVI CONGRESO NACIONAL DE CIRUGÍA
• INSCRIPCIÓN AL XVI CONGRESO COLOMBIANO DE GEOLOGÍA DE 2017 QUE SE REALIZARA EN SANTA MARTA
• INSCRIPCIÓN PARA ASISTIR AL X CONGRESO BOLIVARIANO DE LILAC Y EL XXXVI CONGRESO NACIONAL DE CIRUGÍA
• APOYO ECONÓMICO PARA INSCRIPCIÓN CON EL FIN DE PARTICIPAR COMO PONENTE EN EL V SIMPOSIO INTERNACIONAL
• EX CD. FACA. INGENIERÍA - APOYO ECONÓMICO PARA INSCRIPCIÓN DE 14 DOCENTES DE LA FACULTAD DE INGENIERÍA AL CONGRESO USAR
• PAGO DE INSCRIPCIÓN AL XVI CONGRESO COLOMBIANO DE GEOLOGÍA DE 2017 A REALIZARSE EN SANTA MARTA
• ASISTIR AL XII CONGRESO INTERNACIONAL EN ELECTRÓNICA, CONTROL Y TELECOMUNICACIONES
• VIÁTICOS CON EL FIN DE PARTICIPAR AL CONGRESO COLOMBIANO DE PSICOLOGÍA
• APOYO ECONÓMICO PARA PASAJES TERRESTRES PARA ASISTIR A III CONGRESO INTERNACIONAL
• PAGO DE INSCRIPCIÓN CON EL FIN DE PARTICIPAR EN EL XXXVIII CONGRESO COLOMBIANO DE DERECHO PROCESAL
• MANUTENCIÓN, INSCRIPCIÓN Y PASAJES TERRESTRES PARA ASISTIR AL FESTIVAL INTERNACIONAL DE LITERATURA 
• APOYO ECONÓMICO PARA MANUTENCIÓN Y PASAJES TERRESTRES CON EL FIN DE PARTICIPAR CON PONENCIA
• EX CD. FACIE - APOYO ECONÓMICO PARA CAPACITACIÓN DE DOCENTE QUE PARTICIPARA EN EL XIV CONGRESO DE LA INVESTIGACIÓN
• APOYO ECONÓMICO PARA MANUTENCIÓN CON EL FIN DE PARTICIPAR AL SIMPOSIO INTERNACIONAL ENSEÑAR DE EDUCACIÓN
• EX CD. FEA - VIÁTICOS, INSCRIPCIÓN Y PAGO DE IMPUESTO POR TRANSPORTE AÉREO 
• VIÁTICOS Y PASAJES AÉREOS PARA ASISTIR EN CALIDAD DE ASISTENTE A SIMPOSIO INTERNACIONAL EL CAPITAL DE MARX
• APOYO ECONÓMICO PARA MANUTENCIÓN CON EL FIN DE PARTICIPAR EN EL ENCUENTRO INTERNACIONAL DE EDUCACIÓN
• MANUTENCIÓN CON EL FIN DE ASISTIR AL WAU SIMPOSIO XI CONGRESO COLOMBIANO DE ALERGIA
• VIÁTICOS Y PASAJES AÉREOS CON EL FIN DE PARTICIPAR EN LA XI FERIA DEL LIBRO Y LA CULTURA
• MANUTENCIÓN CON EL FIN DE PARTICIPAR COMO PONENTE EN CONGRESO EN FLORENCIA -DIEGO FERNANDO MACÍAS
• PARTICIPAR COMO ASISTENTE AL X CONGRESO INTERNACIONAL DE INVESTIGACIÓN EN DINÁMICA DE CIENCIAS EXPERIMENTALES - SALLY CUELLAR LÓPEZ
• INSCRIPCIÓN PARA REALIZAR DIPLOMADO EN GESTIÓN DE TECNOLOGÍA EN EL AULA CON LA CORPORACIÓN TODO POR MI COLOMBIA - CORPORACIÓN TODO POR MI COLOMBIA
• INSCRIPCIÓN PARA LA REALIZACIÓN DEL I SIMPOSIO SURCOLOMBIANO DEL CUIDADO DE LA SALUD MENTAL - UNIVERSIDAD SURCOLOMBIANA
• VIÁTICOS Y PASAJES TERRESTRES PARA ASISTIR AL X CONGRESO INTERNACIONAL DE SALUD PUBLICA
• INSCRIPCIÓN PARA ASISTIR AL XXXIV SIMPOSIO REVISORÍA FISCAL EN POPAYÁN
• PARTICIPACIÓN COMO PONENTE EN 5 SIMPOSIO INTERNACIONAL DE INVESTIGACIÓN
• EX CD. FACIE - ASISTIR AL XXVII CONGRESO NACIONAL DE FÍSICA 
• ASISTIR A CONGRESO EXPO MERCADO VISIÓN Y TENDENCIAS - INSCRIPCIÓN Y TRANSPORTE
• ASISTIR AL CURSO DE ACREDITACIÓN DE PROGRAMAS ACADÉMICOS EN LA UNIVERSIDAD EXTERNADO 
• PARTICIPAR COMO PONENTE EN EL XV CONGRESO DE LA SOCIEDAD LATINOAMERICANA DE NEUROPSICOLOGÍA
• ASISTIR AL III CONGRESO INTERNACIONAL BUEN COMIENZO ALCALDÍA DE  MEDELLÍN
• PARTICIPAR COMO ASISTENTE AL II CONGRESO INTERNACIONAL DE EDUCACIÓN PARA EL DESARROLLO
• ASISTIR AL CONGRESO DE LA SOCIEDAD DE NEUROPSICOLOGÍA PARA PRESENTAR TRABAJO
• PAGO DE INSCRIPCIÓN AL III SEMINARIO INTERNACIONAL USO RACIONAL DEL AGUA
• INSCRIPCIÓN Y PASAJES AÉREOS PARA PARTICIPAR COMO ASISTENTE AL 52 ESCOPA ANUAL CONGRESOS 
• INSCRIPCIÓN, PASAJES AÉREOS Y MANUTENCIÓN PARA ASISTIR A XXVI CONGRESO LATINOAMERICANO
• VIÁTICOS, INSCRIPCIÓN Y PASAJES TERRESTRES CON EL FIN DE ASISTIR A VII CONGRESO INTERNACIONAL
• APOYO ECONÓMICO PARA MANUTENCIÓN CON EL FIN DE ASISTIR AL ENCUENTRO INTERNACIONAL DE EDUCACIÓN EN INGENIERÍA
• VIÁTICOS Y PASAJES TERRESTRES CON EL FIN DE PARTICIPAR EN EL ENCUENTRO DE EDUCACIÓN EN INGENIERA ALOFI 2017
• MANUTENCIÓN Y TRANSPORTE TERRESTRE E INSCRIPCIÓN PARA PARTICIPAR DE III CONGRESO DE INSOLVENCIA DE PERSONA NATURAL EN CALI
• PASAJES AÉREOS PARA ASISTIR COMO EVALUADOR PRESENCIAL EN ENCUENTRO NACIONAL E INTERNACIONAL
• MANUTENCIÓN Y TRANSPIRE CON EL FIN DE PARTICIPAR EN EL V SIMPOSIO NACIONAL DE PATRIMONIO BIBLIOGRÁFICO A REALIZARSE EN BOGOTÁ - LADYS JIMÉNEZ TORRES
• PASAJES AÉREOS CON EL FIN DE ASISTIR COMO PONENTE EN EL XVII CONGRESO COLOMBIANO DE QUÍMICA
• INSCRIPCIÓN PARA PARTICIPAR EN EL SOL MICROBIO ECOLOGÍA INTERNACIONAL CURSE 
• PASAJES AÉREOS CON EL FIN DE PARTICIPAR EN EL XV TALLER INTERNACIONAL PARA LA TRANSFORMACIÓN DOCENTE
• MANUTENCIÓN, TRANSPORTE E INSCRIPCIÓN CON EL FIN  DE ASISTIR A VII CONGRESO INTERNACIONAL
• APOYO ECONÓMICO PARA MANUTENCIÓN Y PASAJES TERRESTRES CON EL FIN DE ASISTIR AL XXIII COLOQUIO NACIONAL DE INVESTIGACIÓN
• INSCRIPCIÓN PARA LA PARTICIPACIÓN DE DOCENTE AL XXIII COLOQUIO NACIONAL DE INVESTIGACIÓN EN ENFERMERÍA
• CP. 163 APOYO ECONÓMICO PARA MANUTENCIÓN CON EL FIN DE PARTICIPAR EN XXVII CONGRESO NACIONAL DE FÍSICA
</t>
  </si>
  <si>
    <t>REFORMA</t>
  </si>
  <si>
    <t>SF-PY6.1 Definición de necesidades de vinculación de docentes (estudio) proceso de acreditación</t>
  </si>
  <si>
    <t>SF-PY6.2 Evaluar y reformar la actual política de relevo generacional con base en criterios de excelencia académica</t>
  </si>
  <si>
    <t>RECORDAR QUE ESTA ACCIÓN SE ADICIONO EN EL TERCER TRIMESTRE</t>
  </si>
  <si>
    <t>Socialización definición de necesidades de vinculación de docentes (estudio) proceso de acreditación</t>
  </si>
  <si>
    <t>Socilización en autocontrol sobre la reformar la actual política de relevo generacional con base en criterios de excelencia académica</t>
  </si>
  <si>
    <t xml:space="preserve">• Actualización Folletos Oferta Académica
• Capacitación sobre Teleología con Personal Administrativo “Identidad y Sentido de pertenencia” con Carlos Julio González Villa. 
• Capacitación Intersemestral Docente “FESTIVAL PATI CON DOCENTES SURCOLOMBIANOS” 
• Muro de la Surcolombianidad en el Hall de Bienestar 
• Inducción con estudiantes de primer semestre: “TALLER SOY SURCOLOMBIANO” 
</t>
  </si>
  <si>
    <t xml:space="preserve">• Actualización Folletos Oferta Académica
• Capacitación sobre Teleología con Personal Administrativo “Identidad y Sentido de pertenencia” con Carlos Julio González Villa. 
• Feria de la Surcolombianidad en Garzón – 25 de Agosto de 2017 
• Participación Feria en Gigante (Huila) 
• Premiación Concurso PATI NOS EVALÚA (Sede La Plata) 
• Inducción con estudiantes de primer semestre: “TALLER SOY SURCOLOMBIANO”  (En las Sedes Pitalito, Garzón y La Plata) 
• Recibimiento visita colegio de Nataga (Huila) 
• Recibimiento visita colegio de La Plata (Huila) 
• Feria Educativa en el FONDO NACIONAL DEL AHORRO
</t>
  </si>
  <si>
    <t xml:space="preserve">,• Actualización Folletos Oferta Académica
• Apoyo a proyecto “UN DÍA EN LA U” Bienestar Universitario 
• Feria de la Surcolombianidad en Pitalito – 15 de Septiembre de 2017 
• Participación Feria en Garzón (Huila) 
• Participación Feria en Guadalupe 
• Participación Feria de servicios con víctimas del conflicto armado – Gob. del Huila 
• Participación Feria Universitaria en Pitalito (Huila) 
• Participación Feria Universitaria en Guadalupe (Huila) 
• Participación Feria Universitaria en Rivera (Huila) 
• Participación Feria Universitaria en Yaguará (Huila) 
</t>
  </si>
  <si>
    <t xml:space="preserve">• EXCD. FCJYP - APOYO A LA REALIZACION DE ESTUDIOS Y DISEÑOS PARA CREACION DE PROGRAMAS DE PREGRADO Y POSTGRADO FCJYPJ
• CP 153 VIATICOS Y PASAJES TERRESTRES CON EL FIN DE ASISTIR A SIMPOSIO DE ARQUEOLOGIA
• MANUTENCION Y TRANSPORTE PARA APOYAR PROCESO DE REGIUSTRO CALIFICADO DE PROGRAMAS
• APOYO ECONOMICO MANUTENCION Y TRANSPORTE VISITA PARES ACADEMICOS 
• MANUTENCION Y TRANSPORTE VISITA DE PARES ACADEMICOS PARA OTORGAMIENTO DE REGISTRO CALIFICADO
• DESPLAZAMIENTO PARA APOYAR PROCESO DE REGISTRO CALIFICADO A PROG. GESTION FINANCIERA
• DESPLAZAMIENTO PARA APOYAR PROCESO DE REGISTRO CALIFICADO A PROG. GESTION FINANCIERA
• DESPLAZAMIENTO PARA APOYAR PROCESO DE REGISTRO CALIFICADO A PROG. GESTION FINANCIERA
</t>
  </si>
  <si>
    <t xml:space="preserve">• Apoyar a la Vicerrectora Académica y al Coordinador de la Escuela de Formación Pedagógica en el proceso de diseño de contenidos temáticos de la Escuela de Formación Pedagógica (formación y acompañamiento en Pedagogía, alcance y materialización del PEU y labor de consejerías), dirigida a docentes de la Institución: Inscripciones durante el semestre 2017-2
• Primera reunión “tertulia pedagógica”. Durante el año 2017 se programaron seminarios-Taller sobre los principios pedagógicos del PEU. Primer invitado Mario Helmer Flórez con el tema de Prácticas Educativas y proyectos de Aula. Tertulia pedagógica (entrega y socialización de escritos 2do cuaderno EFP). Soporte: Asistencias, Registro de inscritos,  material audiovisual
</t>
  </si>
  <si>
    <t xml:space="preserve">• Garantizar la ejecución del Programa de Interlingua para Docentes de la Universidad Surcolombiana por parte de la Facultad de Educación.
• Realización de los cursos de ingles
• Clausura cursos de ingles. Soporte: Registro de asistencia, reporte de los docentes
</t>
  </si>
  <si>
    <t xml:space="preserve">• APOYO ECONÓMICO PARA COMPRA PASAJES AÉREOS Y GASTOS ALIMENTACIÓN Y HOSPEDAJE PARA EL CONFERENCISTA EDUARDO RESTREPO 
• DESARROLLAR ACTIVIDAD ACADÉMICA SEDE PITALITO
• EDUARDO ANTONIO RESTREPO
</t>
  </si>
  <si>
    <t xml:space="preserve">• Socialización de las actividades desarrolladas por los profesionales de apoyo durante el semestre 2017-1, relación y organización de información numérica y documental.
• Socialización y orientaciones en el acompañamiento a los procesos de autoevaluación de programas académicos en el semestre 2017-2.
• Socialización y orientaciones por parte del Director General de Currículo para la consecución de información con programas académicos, facultades y dependencias administrativas de la universidad para el análisis en la proyección del Sistema de Información Institucional Integrado.
De acuerdo a la orientación en la consecución de información para el análisis en la proyección del Sistema de Información Institucional Integrado se realizaron las siguientes acciones:
• Reunión 12 de Julio de 2017. Tema: Diseñar plan de trabajo para la selección de fuentes de información, elaboración de instrumento  y aplicación de entrevistas a profundidad a Programas Académicos y Facultades.
• Trabajo de identificación de dependencias y fuentes de información en relación con los aspectos numéricos. 13, 14 y 17 de Julio de 2017.
• Trabajo identificación de dependencias y fuentes de información en relación con los aspectos documental y de análisis. 18, 19 y 20 de Julio de 2017.
• Selección de aspectos que se relacionan directamente con información que pueden suministrar los Programas Académicos y elaboración preliminar del instrumento 21, 24 y 25 de Julio de 2017.
• Reunión 26 de Julio de 2017. Tema: Revisión de actividades desarrolladas y Distribución de las Facultades para aplicar entrevistas a profundidad.
• Jornadas de trabajo para revisar uno a uno los aspectos seleccionados y adaptarlas como preguntas para la entrevista a profundidad dirigida a actores de los Programas y Facultades. 27 y 28 de Julio.
• En el marco del proceso de evaluación y ajustes de los cursos básicos y flexibles institucionales, se han adelantado las siguientes acciones:
• Vinculación como secretario técnico en el equipo de docentes delegados desde las facultades para la actualización y ajustes de los microdiseños de los Cursos Básicos Institucionales acordes con la nueva teleología institucional y la apuesta del eje de Posacuerdo, Paz y Reconciliación como un asunto transversal; espacio liderado por el docente Carlos Bolívar y por las facultades asisten los docentes: William Sierra y Carlos Arnulfo Rojas por la Facultad de Ciencias sociales y Humanas;  Ladys Jiménez por la Facultad de Educación; Lizeth Vargas por la Facultad de Ciencias Jurídicas y políticas y Ana Lilia Bernal por la Facultad de Ciencias Exactas y Naturales. 
• En el marco de la evaluación y ajustes de los Cursos Flexibles Institucionales de Formación Sociohumanística, se ha recopilado desde el sistema de estadística institucional la siguiente información: identificación de los cursos ofrecidos según norma interna de la universidad, total de grupos abiertos por semestre, total de matriculados por grupo de cada curso y total de matriculados de cada curso por facultad correspondiente al periodo académico 2015 -2016; Hasta la fecha, se está recopilando la información mencionada correspondiente al periodo 2012 – 2014. Lo anterior con el objeto de analizar, evaluar y ajustar el portafolio de cursos flexibles institucionales.  
En el marco del proceso de evaluación y ajustes de los cursos Institucionales básicos y flexibles, se han adelantado las siguientes acciones:
• En el marco de la actualización y ajustes de los Cursos Institucionales Básicos se realizaron semanales con el equipo de docentes delegados por cada facultad los días 1, 8, 15, 22 y 29; durante estas sesiones se socializaron los microdiseños de los cursos de Medio Ambiente, Comunicación Lingüística I, Constitución Política y Ética, permitiendo hacer observaciones en cada uno de ellos acordes en la implementación de los componentes teleológicos de la universidad y la apuesta por vincular los acuerdo de Paz. Metodológicamente, se está trabajando en cada microdiseño en la reestructuración de los componentes, avanzando hasta la fecha en la Presentación, Justificación y Competencias generales de cada microdiseño; proceso que se evidencia en las actas de cada reunión.
• En el marco de la evaluación y ajustes de los Cursos Institucionales Flexibles de Formación Sociohumanística, se recopiló la información del total de grupos abiertos y números de matriculados de los cursos en mención correspondientes al periodo académico 2012 - 2016. Hasta la fecha estoy terminando el documento “Evaluación de los Cursos Institucionales Flexibles de Formación Sociohumanística de la Universidad Surcolombiana, periodo 2012 – 2016”; documento que esboza el siguiente contenido: Normograma institucional; Evolución del Portafolio de Cursos Institucionales Flexibles de Formación Sociohumanística periodo 2005 – 2015; Portafolio de cursos por histórico de Acuerdos del Consejo Académico; Cursos Institucionales Flexibles de Formación Sociohumanística por facultades Acuerdo 002 (27 de enero) de 2015; Número de grupos y matriculados por curso periodo 2012 – 2016 y Conclusiones.
• Construcción de Cuadros: Número de estudiantes, Total ingresos del programa, Total de gastos y costos, Total costo por estudiante e inversión en infraestructura y dotación programa de Contaduría Pública.
• Vinculación laboral recién graduado del Programa de Ingeniería Agrícola y Profesionales del programa en el Departamento
• Universidades que ofertan Ingeniería Agrícola en Colombia 
• Participación capacitación gestión ambiental 
• Asistencia jornada de trabajo comité central de currículo
• Búsqueda de información y elaboración del cuadro de admitidos totales, periodos 2011-1 a 2017-2 para el programa de ingeniería Agrícola en la sede Garzón y Pitalito.
• Búsqueda de información y elaboración del cuadro de Matriculados totales, periodos 2011-1 a 2017-2 para el programa de ingeniería Agrícola en la sede Garzón y Pitalito.
• Participación visita de pares programa de administración financiera 
• Actualización Cuadro de Planta física de la Universidad para el programa de Ingeniería Agrícola sedes Garzón y Pitalito
• Búsqueda de información y elaboración de los cuadros (Sedes Garzón y Pitalito):                                                                               - Servicios de bienestar universitario ofrecido a los estudiantes del Programa de Ingeniería Agrícola.                                               - Número de estudiantes de Ingeniería Agrícola que participaron en los grupos Artísticos y Talleres de extensión Cultural.                                                                                          - Número de Meriendas Entregadas a Estudiantes Matriculados.                                                                               - Beneficiarios Jóvenes en Acción Ingeniería Agrícola.                                 - Beneficiarios Tablet Usco Ingeniería Agrícola.  
• Búsqueda de información y elaboración de los cuadros  Históricos 2010 -1 a 2017-2 con inscritos, Admitidos y Matriculados Por Primera Vez
• Calculo Índice de Selectividad e Índice de Absorción - periodo 2010 -1 a 2017 - 2, para los 46 programas de la universidad (sede Neiva, Garzón, Pitalito y la Plata)
• Búsqueda de información y elaboración cuadro: Número de Matriculados por modalidad en la Universidad Surcolombiana en los años 2010 al 2017
• Búsqueda de información y elaboración cuadro: Estudiantes matriculados en programas de pregrado por estrato socioeconómico en la Universidad Surcolombiana en los años 2010 al 2017
</t>
  </si>
  <si>
    <t xml:space="preserve">• Elaboración de informe histórico de resultados Saber Pro 2014-2016 por Decanatura y Programa Académico. 
• Elaboración de informe cualitativo de resultados Saber Pro Competencias genéricas 2016, por programa académico.
• Encuentro informativo relacionado con los fundamentos de las Competencias Genéricas Saber Pro y uso pedagógico de resultados.  Uno por cada  decanatura.
• Encuentros informativos en Consejo de Facultad, con Decanos, Jefes de programa y Docentes, sobre resultados cuantitativos y por niveles de desempeño, obtenidos por estudiantes en el examen Saber Pro 2016.
• Taller con docentes, por programas académicos, sobre análisis e interpretación de resultados del  examen  Saber Pro. Competencias Genéricas y Específicas. 
• Taller con  equipo pedagógico responsable de las capacitaciones de los estudiantes, por competencias genéricas.
• Organización talleres presenciales, para el fortalecimiento de las Competencias Genéricas, dirigido a estudiantes próximos a la presentación del examen Saber Pro. Cinco (5) por programa académico.
</t>
  </si>
  <si>
    <t xml:space="preserve">• Revisión del plan de mejoramiento, proyectos y recursos asignados junto a los Vicerrectores. 04 de Julio.
• Comunicación con el Dr. Rubén Darío Rivera con el fin de concretar cita para revisión de la propuesta de unidad de aseguramiento de la calidad. 04 de Julio.
• Remitir correo a Vicerrectores para agendar jornadas de trabajo para revisar fuentes de financiación de los proyectos del Plan de Mejoramiento.  07 de Julio.
• Diligenciamiento informe formato de seguimiento al plan de desarrollo PY.5.1 y PY.5.2 del subsistema de formación para el segundo trimestre de 2017. 10 de Julio.
• Revisar fechas de comité financiero y consejo superior universitario para el mes de julio, con el fin de agendar reunión con la Vicerrectora Académica para solicitud de traslado presupuestal. 10 de Julio.
• Remitir información normativa al jefe Carlos para consolidación de documentos de apoyo. 12 de Julio.
• Reunión con Centro de Tecnologías de la Información y las Comunicaciones para armonizar los sistemas de información con los requerimientos del MEN. 13 de Julio.
• Consolidación de los protocolos SUE y formatos soporte (Capacidad, Desarrollo Humano y Bienestar, Extensión y Proyección Social, Formación, Internacionalización, Investigación y Generación de Conocimiento). 13-19 de Julio.
• Reunión sistemas de información y acreditación institucional (Sistema de Gestión de Calidad, Sistema de Gestión Ambiental y Sistema de Seguridad y Salud en el Trabajo). 19 de Julio.
• Reunión con ingenieros desarrolladores del CTIC para ver los sistemas de información institucionales, con el Ing. Hector se revisó los indicadores SUE, Cuadros Maestros Institucionales y Cuadros Maestros de Programas Académicos. 19 de Julio.
• Seguir consolidando matriz de armonización para el sistema de información institucional – Acreditación con hipervínculos. 19 de Julio.
• Enviar estadísticas del MEN consolidados de las IES a Rocío y Juan David. 19 de Julio.
• Enviar información del Plan de Mejoramiento Institucional a los programas de Licenciaturas. 19 de Julio.
• Reunión con el Jefe Benjamín para presentación y socialización de trabajo avanzado en la consolidación de la matriz de armonización para el sistema de información. 21 de Julio 
• Reunión con Centro de información y documentación para socialización de cuadros maestros de programas académicos correspondientes al factor 11 con el Ing. Andrés del KOHA, además de organización de información de la unidad de aseguramiento de la calidad para inducción a nuevos funcionarios. 21 de Julio.
• Enviar correo a gobierno en línea – solicitud de publicación de presentación factor 11 Biblioteca en página web. 21 de Julio
• Reunión jornada de trabajo con el ingeniero Hector y la ingeniera Martha para ver el sistema de información de ORNI. 21 de Julio.
• Remitir a jefe Carlos cuadro matriz de interrelación con factores institucionales y de programas académicos. 24 de Julio
• Consolidar interrelación cuadro – matriz de Plan de Desarrollo, factores de lineamientos para acreditación institucional con sus respectivas características. 25 de Julio
• Reunión Biblioteca, actualización estadística información del Centro de información y documentación a corte 2017-1. 26 de Julio
• Reunión ingeniera Martha revisión módulo de Acreditación institucional – sistema de información. 26 de Julio
• Reunión Sistema de Seguridad y Salud en el Trabajo. Armonización de matriz sistema de información para acreditación institucional.  27 de Julio.
• Reunión vicerrectoría administrativa para revisión del plan de mejoramiento en lo que respecta a los proyectos vinculados al subsistema administrativo. 27 de Julio. 
• Reunión con el Dr. Raúl Rivera para presentación de propuesta de la Unidad de aseguramiento de la calidad. 27 de Julio.
• Articulación en la matriz de interrelación para sistema de información el PEU, PDI y factores de acreditación institucional. 27 de Julio.
• Reunión centro de información y documentación para revisión de avance plan de mejoramiento – actualización de la plataforma KOHA. 28 de Julio.
• Reunión para armar perfiles acordes a la propuesta de la unidad de aseguramiento de la calidad.  31 de Julio.
• Enviar correo al ing. Hector para organizar cronograma de jornadas de trabajo para revisión del sistema de información y reportes por factores para acreditación institucional. 31 de Julio.
• Programación de reuniones y cronograma de trabajo con el Ing. Héctor del CTIC, para organizar los reportes del Sistema de Información de Acreditación Institucional; de tal forma que respondan a los lineamientos del CNA e indicadores SUE. 01 de Agosto.
• Revisión perfiles de personal Unidad de Aseguramiento de la Calidad con el Jefe Carlos Ardila. 01 de Agosto.
• Reunión capacitación intersemestral “Acreditación para todos” y conferencia del Dr. Carlos Julio González. 03 de Agosto.
• Reunión con la Vicerrectora Académica y Andrés Venegas para coordinar el traslado presupuestal para dar la continuidad a los contratos de prestación de servicios del personal de Acreditación Institucional. 03 de Agosto.
• Reunión en la Vicerrectoría de Investigación y Proyección Social para revisión y ajustes del plan de mejoramiento institucional. 03 de Agosto.
• Comunicación con el Dr. Rubén Rivera para revisión y ajustes de la propuesta de unidad de aseguramiento de la calidad ante el CSU. 04 de Agosto.
• Remitir información población universidad 2017-1 al Centro de Información y Documentación para respuesta de indicadores SNIES. 04 de Agosto.
• Apoyo en la preparación de Auditoría de Control Interno al Centro de Información y Documentación para el período 2017-1, revisión y consolidación de las Bibliografías, Alertas y Encuestas de Satisfacción al Cliente. 04 de Agosto.
• Subir contrato SIGEP. 08 de Agosto.
• Reunión con Oficina Asesora de Planeación para socializar plan de mejoramiento institucional. 08 de Agosto.
• Enviar informe de autoevaluación e insumo visita de pares a ingeniería electrónica para renovación de registro calificado. 08 de Agosto.
• Reunión SNIES con ing. Martha, en 203. Y reunión índice de Inclusión para la Educación Superior – Usco, revisión de documentos resultados de análisis por factor.  9 de Agosto.
• Solicitad plan de rectoría para complementar información y los cuadros de estado de programas Usco. 9 de Agosto.
• Programar reunión con Bienestar universitario para socializar los indicadores SUE y reportes del área. 10 de Agosto 
• Consolidación de estadísticas 2017-1 para matricula, estrato socioeconómico y nivel de formación. 10 de Agosto.
• Consolidación cuadros maestros institucionales a corte 30 de junio de 2017, para remitir al CNA. 11 de Agosto
• Revisión plan de mejoramiento con el Jefe Carlos Ardila, sobre lo trabajando y ajustado con los vicerrectores. 11 de Agosto.
• De acuerdo a los ajustes del plan de mejoramiento, realicé la actualización de las fuentes de financiación y de los recursos requeridos según el plan de desarrollo institucional. 11 de Agosto
• Consolidar interrelación cuadro – matriz de Plan de Desarrollo, factores de lineamientos para acreditación institucional con sus respectivas características. 25 de Julio
• Reunión con ingeniero Héctor del CTIC para consolidar respuesta a requerimiento de la Alcaldía municipal respecto a la ficha técnica 158 de la procuraduría. 14 de Agosto
• Elaboración y proyección de los recursos del Proyecto 5.1 del subsistema de formación en el plan de desarrollo para el presupuesto de 2018, con Andrés Venegas de la vicerrectoría académica.  14 de Agosto
• Reunión con Marie Edith de la oficina asesora de planeación para consolidar los saldos de los proyectos del plan de acción 2017, en la matriz del plan de mejoramiento institucional. 14 de Agosto.
• Participación en la reunión de socialización de los indicadores y reportes SUE con bienestar universitario en el auditorio Olga Tony. 15 de Agosto. 
• Construcción del plan de seguimiento al plan de mejoramiento institucional basados en los formatos del MEN. 15 de Agosto.
• Reunión con la oficina de extensión cultural para verificar el SIBU respecto a esta área y socialización detallada de reportes SUE. 16 de Agosto.
• Reunión con CTIC para ver adelantos del sistema de información de acreditación institucional. 16 de Agosto.
• Reunión comité directivo para presentación del plan de mejoramiento final y la propuesta de plan de seguimiento en construcción. 17 de Agosto.
• Revisión y construcción de propuestas de comentarios frente a debilidades encontradas en el informe de PARES. 22-31 de Agosto.
• Construcción de cuadro y gráfica comparativa entre calificaciones presentadas por la USCO y los PARES – por característica y por factores. 22 de Agosto.
• Reunión con la dirección de proyección social para socializar informe de PARES y preparar cuadros maestros actualizados junto a las propuestas de comentarios. 22 de Agosto.
• Elaboración cuadro ponderación de calificaciones de PARES y presentación de fortalezas, debilidades y recomendaciones por factor. 23 de Agosto.
• Consolidación de cuadros maestros institucionales actualizados a corte 30 de junio de 2017. Respecto a estudiantes, docentes, proyección social, investigación, movilidad, planeación y deserción. 23 de Agosto.
• Reunión con factores 4-5-6-8-10-11, los cuales tienen calificación 4.2. en el 3 piso de la biblioteca. 24 de Agosto.
• Reunión con Sol Cortés de la vicerrectoría académica, para consolidar respuesta a requerimiento de la Alcaldía de Neiva, respecto a la política de inclusión de la Universidad y las fichas técnicas de la procuraduría. 24 de Agosto.
• Remitir a la dirección de comunicaciones el informe de PARES para elaboración de boletines comunicativos. 24 de Agosto.
• Remitir el boletín de planta física a Juan David Garzón para completitud de información documentos institucionales para programas académicos. 24 de Agosto.
• Reunión comité de Acreditación institucional en la facultad de economía para presentar y socializar el informe, el comparativo de calificaciones, las calificaciones y su respectiva ponderación y las fortalezas, debilidades y recomendaciones. 25 de Agosto.
• Montar el plan de mejoramiento en la plataforma web de Acreditación Institucional de la Universidad. 25 de Agosto.
• Recepción de matriz comentarios para consolidar informe del rector. 28 de Agosto.
• Reunión en biblioteca para elaborar propuesta de indicadores que respondan a calidad y acreditación. 28 de Agosto.
• Construcción de estadísticas de inclusión de la USCO. Programa juventudes Alcaldía de Neiva. 28 de Agosto.
• Revisión y ajustes de propuesta del Jefe Carlos Ardila frente a respuesta de comentarios al informe de PARES, para presentar al rector. 29 de Agosto.
• Reunión en Hostería con comité directivo para consolidar documento Comentarios al informe de PARES y evaluar los PARES del CNA que participaron en la visita. 30 Agosto.
• Completitud y revisión de documento final “Comentarios al informe de PARES”, incluir presentación, paginación y logos institucionales. Remitir informe para impresión y poner en CD con anexos. 31 de Agosto.
• Gestionar cita con Secretaría General para formalizar mediante una Resolución la articulación del Plan de Mejoramiento Institucional y el Plan de Desarrollo. 01 de Septiembre.
</t>
  </si>
  <si>
    <t xml:space="preserve">• Reunión Indicadores MIDE con oficina asesora de planeación, Vicerrectoría de Investigaciones y Dirección General de Currículo. 
• Consolidación presentación informe de pares al CSU. 
• Consolidación diapositivas indicadores MIDE y remisión a vicerrectora académica. 
• Reunión Secretaría general y planeación proyección de resolución plan de mejoramiento articulado al Plan de Desarrollo. 
• Reunión con Ingeniera Martha e ingeniero Manuel para trabajar sobre los comentarios a los indicadores MIDE.
• Reunión asesoría biblioteca para orientar los temas del Autocontrol frente a los comentarios del informe de PARES. 
• Consolidación inconsistencias información remitida por MIDE frente a la universidad Surcolombiana. 
• Revisión proyecto de resolución de plan de mejoramiento con el jefe Carlos Emilio Ardila y el informe de comentarios al MIDE por parte de la Universidad.
• Asesoría a biblioteca. 
• Reunión Comité Directivo y consolidación de presentación de indicadores MIDE para el Consejo Académico. 
• Consolidación de información SNIES por facultades para insumo de documentos maestros programas, revisión por parte del Jefe Carlos Emilio. 
• Consolidación MIDE 2017 y envío a rectoría.
• Reunión capacitación ambiental.
• Remisión de información cuadros maestros de docentes a Lilia de Talento Humano, para verificación de en visita de PARES. 
• Participación en reunión de Autocontrol de la Biblioteca. 
• Proyectar y remitir información necesidades del plan de compras 2018 de la oficina al jefe Carlos Emilio Ardila. 
• Ajustar presentación y cuadros por factor para conformar la base del sistema de información de aseguramiento de la calidad. 
• Participación en el Consejo Académico y presentación de la unidad de aseguramiento de la calidad en el comité administrativo. 
• Continuar con la consolidación de cuadros de información por factores. 
• Ajuste presentación oficina de aseguramiento de la calidad. 
• Revisión de cuadros por factores con el jefe Carlos Emilio para agregar o modificar y posteriormente se remitieron a las tres mesas de trabajo para su completitud. 
• Remisión al Jefe Carlos Emilio presentación de oficina de aseguramiento con los ajustes del Comité Administrativo y adición de cargos y perfiles.
• Remisión de plan de seguimiento del plan de mejoramiento al decano Mario de Ciencias Jurídicas y Políticas. 
• Remití cuadro de estado de programas al Jefe Carlos Emilio. 
• Recolección y remisión de información solicitada por el PAR Académico a la vicerrectoría académica para su consolidación con otros puntos.
• Consolidar información de nueva categorización de grupos en Colciencias 2017 y envío a rectoría. 
• Se remitió la información de los cuadros maestros institucionales a la oficina asesora de planeación con el fin de que construyan el informe de gestión de los tres años de rectoría. 
• Revisión y ajustes cuadro de proyección del POAI 2018 con proyectos de plan de mejoramiento institucional y remisión al jefe para su valoración. 27 de Septiembre.
• Asesoría a la oficina de Sistema de Gestión de Seguridad y Salud en el Trabajo frente a la completitud de información en los cuadros del Factor 9. 27 de Septiembre.
• Reunión de trabajo con Andrea Castiblanco de la oficina de Currículo para consolidar cuadros de completitud para el Factor 1. 28 de Septiembre.
• Bajar de la página los planes de estudios de 50 programas académicos como insumos de información. 28 de Septiembre.
• Remitir informe de autoevaluación en formato Word para la oficina de planeación institucional con el fin de tomar como referencia la información estadística allí consolidada. 28 de Septiembre.
• Entrega de planes de estudio a la biblioteca como insumo para evaluación de la colección bibliográfica y reunión factor 11 para asesoría en la construcción de cuadros de completitud de información y trabajo independiente de las mesas. 29 de Septiembre.
• Reunión del Factor 2 para asesoría en la consolidación de información de completitud y trabajo independiente de las mesas.  29 de Septiembre.
• Presentación de información consolidada de docentes y asesoría para tomarla de base en la construcción de cuadros de completitud y trabajo independiente de las mesas Factor 3. 29 de Septiembre. 
</t>
  </si>
  <si>
    <t xml:space="preserve">Evento Graduados: Destacados
• Se formuló como estrategia éste año realizar un solo evento de graduados destacados y se solicitó a cada programa 10 graduados destacados, dónde serán seleccionados por los jefes de programa con profesores de cada área para hacer la elección de las personas que serán homenajeadas por su labor destacada en la sociedad en distintas áreas; El evento se realizará el día 1 de Diciembre de 6:00 a 9:00 pm en el Centro de Convenciones José Eustasio Rivera; aspiramos a reunir 300 graduados destacados, la convocatoria se hará por programa para facilitar la comunicación y confirmar la asistencia, los recursos de la actividad están asegurados según PY 7.2.
• Estudio de Impacto: Se logró reunir el 11 de Agosto varios jefes de programas, para solicitar el apoyo a la elaboración del estudio de impacto de los graduados, involucramos a CTIC con el fin de obtener información de las encuestas elaboradas a través de la plataforma y que a la fecha tiene 2.864 encuestados y dónde logramos identificar datos como: situación laboral, expectativas de capacitación y formación ,y satisfacción con la formación, además hemos concretado varias sesiones de trabajo con el ánimo de recopilar información y demás antecedentes de cada programa.
• En reunión de plan de mejoramiento con la Vicerrectora Académica se concretó que debe quedar el proyecto elaborado para lograr la aprobación de su financiamiento y llevar a feliz término  dicho estudio.
• Bolsa de Empleo: El objetivo es fortalecer la Bolsa de Empleo, se renovó la Licencia por un valor de $9.913 786,47 pesos y funciona con normalidad y bajo la Administración del apoyo jurídico de la oficina; queremos aprovechar los Convenios en gestión para incluirlos como empresas oferentes con vacantes de empleos,  prácticas y/o pasantías. Se realiza constante difusión a través de las redes sociales y asesoría personalizada desde la oficina de graduados.
• Carnetización: Se recibió una solicitud de impresión de 582 carné para el 25 de Agosto, se lograron imprimir 450 aproximadamente, lastimosamente se nos agotó el material, se recibió material el día 06  de Octubre y se reanuda la impresión de los pendientes y con objetivo de cumplir la solicitud del 10 de Noviembre de nuevos graduandos.; es de tener en cuenta que sumado a eso no todos  los programas enviaron la información a tiempo, incluso después de la fecha de grado lo que dificultó la impresión organizada, además que no contamos con recurso para contratar monitor,  se acudió a practicantes administrativos para poder suplir el apoyo.
• Oferta posgradual: Programación de actividades en las que podamos participar con el objetivo de llevar nuestra oferta académica posgradual; se asistió al evento de EXPO-HUILA 7 al 11 de Septiembre dónde con total éxito logramos exponer no sólo posgrados sino también pregrado y en dónde asistieron  personas del orden regional, nacional e internacional.
• 1 Noviembre – Día del Administrador de Empresas y rueda de negocios.
• 16 Noviembre- Feria del Turismo
• Centro de Emprendimiento: Se realizó una reunión con el Coordinador del Centro de Emprendimiento el Dr. Rafael Méndez y todo su equipo de trabajo, además contamos con un asesor externo y voluntario que quiere apoyar el proyecto; se propuso una manera de cómo desarrollar la estrategia del posible convenio Finagro - Banco Agrario - Universidad Surcolombiana, en aras del fortalecimiento y capacitación a los graduados enfocadas al apoyo a nuevas PYMES y fortalecimiento de las ya existentes, y otras estrategias que por su naturaleza puedan ser incluidas en el convenio.
• Visita de Pares Académicos: Se ha acompañado con exposición e informes a los siguientes programas en visita de pares:
• Ing. Electrónica
• Licenciatura en Educación Infantil
• Administración Financiera
• Tec. En Gestión Financiera
• Licenciatura de Artes 13 Oct 2017
• Socialización de Política Institucional de Graduados: Se realizó la socialización de la Política Institucional de Graduados en las siguientes facultades de:
 Ciencias Jurídicas y Políticas Educación (Jefes de programa y Decano)
 Facultad de Educación (Jefes de programa y Decano)
• Observatorio Laboral: Actualmente se ha respondido a la información del Observatorio Laboral y se asistió a posterior capacitación en la ciudad de Bogotá; con apoyo de las practicantes se ha enviado información a todos los correos electrónicos que requiere dicho estamento, en total son 2.800 correos y llamadas telefónicas; es de tener en cuenta que no contamos con teléfono celular y sólo podemos realizar llamadas del teléfono fijo. Se solicitó la viabilidad de una línea de celular para poder contactar a los graduados y hacer efectiva las labores solicitadas por el observatorio laboral en todo lo correspondiente en encuestas y demás.
• Relevo Generacional: Actualmente analizamos el proyecto dónde se da a conocer puntualmente el objetivo de insertar dentro de nuestra Universidad el programa de relevo generacional.
</t>
  </si>
  <si>
    <t xml:space="preserve">• APP MOVIL: Se proyecta crear una aplicación móvil en dónde podamos como estrategia acercar a todos los graduados de la Universidad Surcolombiana y brindarles todo lo relacionado a beneficios y servicios: 
1. Oferta académica posgradual: Enlace directo a  toda la información de la oferta de Especialización Maestría y Doctorado.
2. Bolsa de empleo: Enlace directo a la plataforma de la bolsa de empleo laborando.usco.edu.co, vacantes, inscripción estudiantes y graduados, etc.
3. Convenios: Información de los convenios actuales con la información pertinente de los beneficios que obtendrán.
4. Carné virtual: Descargar el carné digitando su número de cédula.
5. USCO empresas: dirigida a todos los graduados que han creado empresas y/o negocios y quieran hacer parte de dicha aplicación, actualmente contamos con 120 empresas que quieren hacer parte de la plataforma; el objetivo es estrechar el vínculo Universidad Surcolombiana – Graduado y apoyar sus empresas en la difusión gratuita de los productos y/o servicios generando una red de apoyo que permita mejorar sus ingresos.
• CARNÉ VIRTUAL: Se pone en consideración la implementación del carné virtual como estrategia que permita vincular aún más al graduado,  aprovechando todos los beneficios adquiridos a través de la gestión de la Universidad,  idea de nuestro representante de Graduados Julián Salas y que permitió proyectar la propuesta con 3 argumentos que a continuación enumero:
1. El carné ya no es indispensable portarlo para el ingreso a la Universidad o para acceder a algún convenio, debido a que al ingreso sólo debe estar en línea y a través de un usuario consulta la Universidad o Empresa podrá verificar sus datos y dar ingreso, incluso el mismo graduado puede descargarlo desde su celular;  esto generaría más accesibilidad a los convenios ya que sólo con la cédula de ciudadanía podrían ingresar y/o mostrando su descarga.
2. Al suprimir el uso de carné la Universidad se ahorraría los costos de la producción de más de 1.200 carné por año que actualmente se imprimen en promedio desde la oficina de graduados; con un valor estimado de $4.000.000 en material, más el pago a dos monitores por un valor de $1.500.000
3. Hacer uso de las nuevas tecnologías en favor de la Universidad, además de favorecer el medio ambiente al suprimir la impresión en carné plásticos.
</t>
  </si>
  <si>
    <t xml:space="preserve">• Bolsa de Empleo Institucional
En aras de fortalecer y posicionar en el municipio de Neiva el Servicio de Bolsa de Empleo Institucional que ofrece de forma exclusiva la Universidad Surcolombiana a graduados y estudiantes, se realizó durante el mes de febrero y marzo  la convocatoria e invitación al evento de lanzamiento de la Bolsa de Empleo al sector de los gremios; dicha actividad se realizó el 16 de marzo en la Hostería Matamundo y contó con  la participación de 80 personas entre empresarios y representantes de diferentes instituciones; el servicio fue  bien  recibido por los empresarios quiénes reconocieron el esfuerzo realizado  por la Universidad por fortalecer y  facilitar a los diferentes usuarios de la Plataforma un sistema de incorporación laboral. Así mismo el 9 de mayo  se socializó el servicio de Bolsa de Empleo ante los gerentes  y representantes de los bancos  que tienen sede en el municipio de Neiva. • CONVENIOS
BANCO AGRARIO DE COLOMBIA: Presidente Dr. Luis Enrique Dussán
 Beneficiar con créditos de tasas preferencial a los graduados de la Universidad Surcolombiana dirigidos al fortalecimiento de negocios o empresas ya constituidas y con la asesoría y capacitación del Centro de Emprendimiento
 Apoyar planes de negocio de graduados Surcolombianos a través de un programa o estrategia orientada al primer crédito de los graduados que no tienen vida crediticia; dirigido al sector agrícola y comercial que permita materializar nuevos negocios o pequeñas empresa, fomentando así alternativas de desarrollo para la región, mejorando a su vez las expectativas económicas del graduado, asesorados y capacitados por el centro de Emprendimiento de la Universidad Surcolombiana.
 Fortalecer la bolsa de empleo dirigida desde la Universidad Surcolombiana a estudiantes y graduados; especialmente prácticas y/o pasantías administrativas orientadas a tecnólogos y profesionales que por naturaleza del objeto de Banco Agrario se requiera.
 Bancarización de los estudiantes de últimos semestres que quieran proyectar un crédito de estudio, negocio o microempresa  y que se logre a través de ésta estrategia, de manera que eduque financieramente a los futuros graduados y poder así cumplir sus objetivos de estudio y/o negocios.
 Orientar una línea de crédito dirigida a cubrir estudios posgraduales en el sector agrícola y ambiental; con el fin de fortalecer el conocimiento de los profesionales de la región. (Revisar viabilidad en otras áreas.)
 Proponer y estudiar la correlación entre las partes para formular estrategias que compenetren y apoyen los objetivos de cada una de las partes.
• FINAGRO: Presidente Dr. Carlos Ramiro Chavarro
 Beneficiar con créditos de tasas preferencial a los graduados de la Universidad Surcolombiana dirigidos al fortalecimiento de negocios o empresas ya constituidas y con la asesoría y capacitación del Centro de Emprendimiento
 Apoyar planes de negocio de graduados Surcolombianos a través de un programa o estrategia orientada al primer crédito de los graduados que no tienen vida crediticia; dirigido al sector agrícola y comercial que permita materializar nuevos negocios o pequeñas empresa, fomentando así alternativas de desarrollo para la región, mejorando a su vez las expectativas económicas del graduado, asesorados y capacitados por el centro de Emprendimiento de la Universidad Surcolombiana.
 Fortalecer la bolsa de empleo dirigida desde la Universidad Surcolombiana a estudiantes y graduados; especialmente prácticas y/o pasantías administrativas orientadas a tecnólogos y profesionales que por naturaleza del objeto de Finagro se requiera.
 Orientar una línea de crédito dirigida a cubrir estudios posgraduales en el sector agrícola y ambiental; con el fin de fortalecer el conocimiento de los profesionales de la región. (Revisar viabilidad en otras áreas.)
 Asesorar e impulsar proyectos de innovación enmarco del apoyo a proyectos de Vicerrectoría de Investigación y Proyección Social y sus semilleros de investigación teniendo en cuenta la viabilidad económica. (Estudiar la propuesta de Finagro respecto a proyectos de innovación y diseñar un objetivo que compagine con los objetivos que tienen los semilleros, negocios y empresas frente a ideas innovadoras.)
 Proponer y estudiar la correlación entre las partes para formular estrategias que compenetren y apoyen los objetivos de cada una de las partes.
 Surenvíos Gte. Comercial Ricardo Polanía
 Comfamiliar (Pendiente cita para llevar la propuesta)
 Agencia de Desarrollo Rural – Director Ramiro Silva
 Bodytech – Angélica González
 Mafre – Seguros Gte. María del Rosario Romero
 Hoteles en Villavieja, San Agustín y demás que impulsen el turismo por el Huila.
 Royal Film Gte. Comercial Diego
• Difusión de la información       
Actualmente trasmitimos la información que nos requieren de los programas por Facebook Twitter y Correos Electrónicos; con el ánimo de fortalecer los posgrados, también se difunden los eventos e información de nuestra oficina con el propósito de dar a conocer las actividades que desde acá impulsamos con el ánimo de apoyar a nuestros graduados.
</t>
  </si>
  <si>
    <t xml:space="preserve">• Durante la primera semana de julio se realizó la selección de las habilidades en las que se formarían los  estudiantes que ingresaron  a primer semestre en los diversos programas académicos, además de hacer la respectiva gestión y distribución de salones designados para las dos semanas de formación intensiva. 
• En la segunda semana de julio se terminó de organizar la diagramación de módulos de Comprensión de Lectura y Matemáticas, así como de los horarios por programa para su posterior impresión.  De igual manera  se organizó todo el proceso logístico para el recibimiento de los estudiantes.
• En la tercera semana, se recibieron un aproximado de 865 jóvenes en el programa de aprestamiento en habilidades en comprensión de lectura y Matemática, ellos participaron en una conferencia de bienvenida e iniciaron el proceso de nivelación en estas habilidades, que se desarrolla durante la semana del 17  y 24  de julio.
•  Durante la tercera y cuarta semana del mes de julio el programa de aprestamiento, desarrollo todas las actividades logísticas necesarias para estas dos semanas  tales como: Entrega de módulos de Comprensión de Lectura y Matemática, velar por que las instalaciones de la institución estuvieran a disposición de los estudiantes y coordinar a los 21 monitores que impartieron la formación.
• En el transcurso de las dos primeras semanas del mes agosto, se realizaron reuniones con  los jefes de programa  de los diferentes programas académicos de la institución, para articular el posterior acompañamiento de los estudiantes de primer semestre con una asignatura de base de su respectivo pensum.
• De igual manera durante el transcurso de este mes, se realizaron reuniones con el comité de práctica del programa de Licenciatura en Literatura y Lengua castellana para establecer el seguimiento y modo de evaluación de los estudiantes que realizan practica con el programa de aprestamiento en habilidades en Comprensión de Lectura y Matemática.
• En la tercera y cuarta semana, se desarrollaron reuniones con los docentes de las asignaturas de base de cada uno de los programas para hacer la presentación de los monitores que los acompañarían durante el transcurso del semestre y quienes a su vez deben realizarían el seguimiento de la habilidad correspondiente de cada uno de los estudiantes.
• En el mes de septiembre, se terminaron de ubicar a los monitores con los cuales se tuvo inconveniente para organizar un espacio de seguimiento con los estudiantes de primer semestre, como es el caso del programa de Psicología y Ciencias Políticas.
• Por otro lado durante el este mes,  se desarrolló la estrategia de seguimiento que permite evidenciar el acompañamiento a los estudiantes de primer semestre, tales como realización de formatos digitales  que contienen el desarrollo de las asesorías y evidencias fotográficas.
</t>
  </si>
  <si>
    <t>La Actividad de Consulta de Medicina General , los cuales no incluyen las consultas de examen de admisión ni las campañas de actividad de promoción y prevención. Información Según certificación adjunta .Registro estadistico SIBUSCO</t>
  </si>
  <si>
    <t xml:space="preserve">Registro estadistico SIBUSCO- De acuerdo a los nuevos lineamientos, los examenes de ingreso no son obligatorios a partir del 21017-1 , por lo tnato se seguiran realizando consultas de diagnosticos y determinacion de riesgo  a los estudiantes de primer semestre que soliciten el servicio por lo que se ve reflejado en la atencion. </t>
  </si>
  <si>
    <t>Registro estadistico SIBUSCO</t>
  </si>
  <si>
    <t>beneficiarios de Campañas de prevención del CSPA</t>
  </si>
  <si>
    <t xml:space="preserve">Planillas de asistencia, registro fotografico, se logra crear el comité de conviviencia de la plaza Jaime Garzón donde se adelantan activiades que se centran en las buenas practicas con el objetivo de menguar la practica del consumo. </t>
  </si>
  <si>
    <t>Actividades</t>
  </si>
  <si>
    <r>
      <t xml:space="preserve">los indicadores reportados durante los meses de julio, Agosto, Septiembre, se alcanzaron durante la ejecucion de las siguientes actividades, con los respetivos asistentes: </t>
    </r>
    <r>
      <rPr>
        <b/>
        <sz val="10"/>
        <color theme="1"/>
        <rFont val="Calibri"/>
        <family val="2"/>
        <scheme val="minor"/>
      </rPr>
      <t xml:space="preserve">Agosto </t>
    </r>
    <r>
      <rPr>
        <sz val="10"/>
        <color theme="1"/>
        <rFont val="Calibri"/>
        <family val="2"/>
        <scheme val="minor"/>
      </rPr>
      <t xml:space="preserve">dimension emocional (886), Dimension alimentaria (180), dimension Clinica (75), Dimision Fisica (71).   </t>
    </r>
    <r>
      <rPr>
        <b/>
        <sz val="10"/>
        <color theme="1"/>
        <rFont val="Calibri"/>
        <family val="2"/>
        <scheme val="minor"/>
      </rPr>
      <t xml:space="preserve">Septiembre: </t>
    </r>
    <r>
      <rPr>
        <sz val="10"/>
        <color theme="1"/>
        <rFont val="Calibri"/>
        <family val="2"/>
        <scheme val="minor"/>
      </rPr>
      <t>Dimension Emocional (1204), Dimension alimentaria (85), Dimension Fsisica (209) y jornadas (242)</t>
    </r>
  </si>
  <si>
    <t>Programación mensual , no se  han establecido la linea base y meta resultado 2017 porque  se realizando el empadronamiento censal  a los estudiantes para identificar la población con diversidad funcional, en donde se hace un acercamiento a cada estudiante en condición de discapacidad física para recolectar la información requerida en el registro de  "localización y  caracterización de personas con discapacidad.</t>
  </si>
  <si>
    <t xml:space="preserve">el indicador de cobertura es semestral </t>
  </si>
  <si>
    <t xml:space="preserve">Durante los meses de Julio a Septiembre se desarrollaron el total 48 Actividades, de resaltar que durante el mes de Julio se realizaron pocas actividadades debido a que los estudiantes retoman actividades  academicas. </t>
  </si>
  <si>
    <t xml:space="preserve">
BIENESTAR
</t>
  </si>
  <si>
    <t xml:space="preserve">Nos  permitimos informarle que el consejo Superior de la universidad Surcolombiana, realizo un acuerdo el cual es el 015 de 2016 del 13 de Mayo donde aprueba el cambio de las lineas bases a calificar tanto  las puestas en escenas, talleres y grupos para medir la oficina de extensión Cultural.  como soportes se tienen las planillas de asistencias y registro fotografico. </t>
  </si>
  <si>
    <r>
      <t xml:space="preserve">En el mes </t>
    </r>
    <r>
      <rPr>
        <sz val="10"/>
        <color theme="1"/>
        <rFont val="Calibri"/>
        <family val="2"/>
        <scheme val="minor"/>
      </rPr>
      <t xml:space="preserve">  </t>
    </r>
    <r>
      <rPr>
        <b/>
        <sz val="10"/>
        <color theme="1"/>
        <rFont val="Calibri"/>
        <family val="2"/>
        <scheme val="minor"/>
      </rPr>
      <t>Agosto</t>
    </r>
    <r>
      <rPr>
        <sz val="10"/>
        <color theme="1"/>
        <rFont val="Calibri"/>
        <family val="2"/>
        <scheme val="minor"/>
      </rPr>
      <t xml:space="preserve"> se Apoyo a actividades de clima organizacional, docentes, estudiantes y administrativos Facultad de Educación. Y durante el mes de</t>
    </r>
    <r>
      <rPr>
        <b/>
        <sz val="10"/>
        <color theme="1"/>
        <rFont val="Calibri"/>
        <family val="2"/>
        <scheme val="minor"/>
      </rPr>
      <t xml:space="preserve"> Septiembre</t>
    </r>
    <r>
      <rPr>
        <sz val="10"/>
        <color theme="1"/>
        <rFont val="Calibri"/>
        <family val="2"/>
        <scheme val="minor"/>
      </rPr>
      <t xml:space="preserve"> se 1. Apoyo económico para evento de integración lúdica y cultural 18 años de la FACIEN </t>
    </r>
  </si>
  <si>
    <r>
      <t xml:space="preserve">En el mes de </t>
    </r>
    <r>
      <rPr>
        <b/>
        <sz val="10"/>
        <color theme="1"/>
        <rFont val="Calibri"/>
        <family val="2"/>
        <scheme val="minor"/>
      </rPr>
      <t>Julio</t>
    </r>
    <r>
      <rPr>
        <sz val="10"/>
        <color theme="1"/>
        <rFont val="Calibri"/>
        <family val="2"/>
        <scheme val="minor"/>
      </rPr>
      <t xml:space="preserve"> se realizo integración en el área de Bienestar Universitrario, se apoyo en la Integracion de Vigilantes, y Conductores, de</t>
    </r>
    <r>
      <rPr>
        <b/>
        <sz val="10"/>
        <color theme="1"/>
        <rFont val="Calibri"/>
        <family val="2"/>
        <scheme val="minor"/>
      </rPr>
      <t xml:space="preserve"> Septiembre</t>
    </r>
    <r>
      <rPr>
        <sz val="10"/>
        <color theme="1"/>
        <rFont val="Calibri"/>
        <family val="2"/>
        <scheme val="minor"/>
      </rPr>
      <t xml:space="preserve"> se realizo el  Encuentro de la canción de Administrativos, Docentes y Egresados.</t>
    </r>
  </si>
  <si>
    <r>
      <t xml:space="preserve">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Contrato </t>
    </r>
    <r>
      <rPr>
        <b/>
        <sz val="10"/>
        <color theme="1"/>
        <rFont val="Calibri"/>
        <family val="2"/>
        <scheme val="minor"/>
      </rPr>
      <t>UC-009-2017</t>
    </r>
    <r>
      <rPr>
        <sz val="10"/>
        <color theme="1"/>
        <rFont val="Calibri"/>
        <family val="2"/>
        <scheme val="minor"/>
      </rPr>
      <t>, El número de raciones proyectadas  tercer trimestre,</t>
    </r>
    <r>
      <rPr>
        <b/>
        <sz val="10"/>
        <color theme="1"/>
        <rFont val="Calibri"/>
        <family val="2"/>
        <scheme val="minor"/>
      </rPr>
      <t xml:space="preserve"> 141060</t>
    </r>
    <r>
      <rPr>
        <sz val="10"/>
        <color theme="1"/>
        <rFont val="Calibri"/>
        <family val="2"/>
        <scheme val="minor"/>
      </rPr>
      <t xml:space="preserve">  versus las efectivamente entregadas  </t>
    </r>
    <r>
      <rPr>
        <b/>
        <sz val="10"/>
        <color theme="1"/>
        <rFont val="Calibri"/>
        <family val="2"/>
        <scheme val="minor"/>
      </rPr>
      <t>151466</t>
    </r>
    <r>
      <rPr>
        <sz val="10"/>
        <color theme="1"/>
        <rFont val="Calibri"/>
        <family val="2"/>
        <scheme val="minor"/>
      </rPr>
      <t xml:space="preserve"> (107%).</t>
    </r>
  </si>
  <si>
    <r>
      <t xml:space="preserve">Corresponden al suministro de alimentarias y/o meriendas, mediante el sistema subsidiado, con destinos a los estudiantes matriculados de la Sede de Pitalito de la Universidad Surcolombiana,  Contrato UC-008-2017, el numero de raciones proyectadas tercer trimestre,  </t>
    </r>
    <r>
      <rPr>
        <b/>
        <sz val="10"/>
        <color theme="1"/>
        <rFont val="Calibri"/>
        <family val="2"/>
        <scheme val="minor"/>
      </rPr>
      <t>22360</t>
    </r>
    <r>
      <rPr>
        <sz val="10"/>
        <color theme="1"/>
        <rFont val="Calibri"/>
        <family val="2"/>
        <scheme val="minor"/>
      </rPr>
      <t xml:space="preserve">   versus las efectivamente entregadas </t>
    </r>
    <r>
      <rPr>
        <b/>
        <sz val="10"/>
        <color theme="1"/>
        <rFont val="Calibri"/>
        <family val="2"/>
        <scheme val="minor"/>
      </rPr>
      <t>21840</t>
    </r>
    <r>
      <rPr>
        <sz val="10"/>
        <color theme="1"/>
        <rFont val="Calibri"/>
        <family val="2"/>
        <scheme val="minor"/>
      </rPr>
      <t xml:space="preserve">  </t>
    </r>
    <r>
      <rPr>
        <b/>
        <sz val="10"/>
        <color theme="1"/>
        <rFont val="Calibri"/>
        <family val="2"/>
        <scheme val="minor"/>
      </rPr>
      <t>(98%).</t>
    </r>
  </si>
  <si>
    <r>
      <t xml:space="preserve">Corresponden al suministro de alimentarias y/o meriendas, mediante el sistema subsidiado, con destinos a los estudiantes matriculados de la Sede de Garzón el numero de raciones proyectadas tercer trimestre,   </t>
    </r>
    <r>
      <rPr>
        <b/>
        <sz val="10"/>
        <color theme="1"/>
        <rFont val="Calibri"/>
        <family val="2"/>
        <scheme val="minor"/>
      </rPr>
      <t xml:space="preserve"> 7740</t>
    </r>
    <r>
      <rPr>
        <sz val="10"/>
        <color theme="1"/>
        <rFont val="Calibri"/>
        <family val="2"/>
        <scheme val="minor"/>
      </rPr>
      <t xml:space="preserve"> versus las efectivamente entregadas   </t>
    </r>
    <r>
      <rPr>
        <b/>
        <sz val="10"/>
        <color theme="1"/>
        <rFont val="Calibri"/>
        <family val="2"/>
        <scheme val="minor"/>
      </rPr>
      <t xml:space="preserve">7560  </t>
    </r>
    <r>
      <rPr>
        <sz val="10"/>
        <color theme="1"/>
        <rFont val="Calibri"/>
        <family val="2"/>
        <scheme val="minor"/>
      </rPr>
      <t xml:space="preserve"> </t>
    </r>
    <r>
      <rPr>
        <b/>
        <sz val="10"/>
        <color theme="1"/>
        <rFont val="Calibri"/>
        <family val="2"/>
        <scheme val="minor"/>
      </rPr>
      <t>(90%)</t>
    </r>
    <r>
      <rPr>
        <sz val="10"/>
        <color theme="1"/>
        <rFont val="Calibri"/>
        <family val="2"/>
        <scheme val="minor"/>
      </rPr>
      <t>.</t>
    </r>
    <r>
      <rPr>
        <b/>
        <sz val="11"/>
        <color theme="1"/>
        <rFont val="Calibri"/>
        <family val="2"/>
        <scheme val="minor"/>
      </rPr>
      <t>Contrato UC-008-2017</t>
    </r>
  </si>
  <si>
    <r>
      <t xml:space="preserve">Corresponden al suministro de alimentarias y/o meriendas, mediante el sistema subsidiado, con destinos a los estudiantes matriculados de la Sede de La Plata de la Universidad Surcolombiana, </t>
    </r>
    <r>
      <rPr>
        <b/>
        <sz val="11"/>
        <color theme="1"/>
        <rFont val="Calibri"/>
        <family val="2"/>
        <scheme val="minor"/>
      </rPr>
      <t>Contrato UC-008-2017</t>
    </r>
  </si>
  <si>
    <t xml:space="preserve">El 23 de Agosto se recibido la resolucion  de 238 solicitudes de estudiantes que efectuaran estudios socieconomicos, se realizo la lectura de todas las soliciutdes efectuando una matriz en xel en la cual estan los datros de los estudiantes que solicitan, que documentos adjuntan, o que se observa en los documentos y el concepto. En Agosot se realizaron 41 entrevistas y en Septiembre 145 y 30 visitas domiciliarias.  </t>
  </si>
  <si>
    <r>
      <t xml:space="preserve">Cartas de compromisos de los estudiantes Juan Pablo Paredes Cabrera, como Judicante de la Oficna Juridica </t>
    </r>
    <r>
      <rPr>
        <b/>
        <sz val="10"/>
        <color theme="1"/>
        <rFont val="Calibri"/>
        <family val="2"/>
        <scheme val="minor"/>
      </rPr>
      <t>(Agosto) ,</t>
    </r>
    <r>
      <rPr>
        <sz val="10"/>
        <color theme="1"/>
        <rFont val="Calibri"/>
        <family val="2"/>
        <scheme val="minor"/>
      </rPr>
      <t xml:space="preserve"> y la estudiante Veronica Hurtado Cortes  de  Ingeniraria Electronica como Practicante en la Oficina de  Carnetizacion </t>
    </r>
    <r>
      <rPr>
        <b/>
        <sz val="10"/>
        <color theme="1"/>
        <rFont val="Calibri"/>
        <family val="2"/>
        <scheme val="minor"/>
      </rPr>
      <t>(Septiembre)</t>
    </r>
  </si>
  <si>
    <t>Apoyo Personas Movilidad Académica</t>
  </si>
  <si>
    <t>Se Apoyo a 30 Personas para Movilidad Académica entre docentes, estudiantes y personal administrativo. (No todos los soportes reposan en la VIPS, Recursos ejecutados por excedentes de facultad)</t>
  </si>
  <si>
    <t>Se Apoyo a 22 Personas para Movilidad Académica entre docentes, estudiantes y personal administrativo. (No todos los soportes reposan en la VIPS, Recursos ejecutados por excedentes de facultad)</t>
  </si>
  <si>
    <t>Se Apoyo a 126 Personas para Movilidad Académica entre docentes, estudiantes y personal administrativo. (No todos los soportes reposan en la VIPS, algunos se pueden encontrar a través de los recursos ejecutados por excedentes de facultad y otros soportes en el COCERNI),  a continuación se relaciona una muestra equivalente al 10% del total.del trimestre:
1 - LUIS FERNANDO BONILLA CAMACHO
2 - LUIS ALEXANDER ROJAS TEJADA
3 - NUBIA MARITZA ALEJANDRO HERNANDEZ
4 - KARLA NOEMI JIMENEZ VENTURA
5 - ROCIO POLANIA FARFAN
6 - ANGEL MILLER ROA CRUZ
7 - CARLOS FERNANDO GOMEZ GARCIA
8 - FREDY HUMBERTO ESCOBAR
9 - LEIDY CAROLINA CUERVO
10 - GLORIA COTRINO TRUJILLO
11 - EDGAR COMETA GUARNIZO
12 - MARIA FERNANDA JAIME OSORO
13 - FRANCY HOLLMIN SALAS CONTRERAS</t>
  </si>
  <si>
    <t>Se proyecta el apoyo económico a docentes y estudiantes integrantes de grupos que desarrollan proyectos de Proyección Social.</t>
  </si>
  <si>
    <t>Se apoyaron a 8 docentes para realizar ponencias:
- DANIEL SUESCUN DIAZ
- ALESSANDRO BERMEO DIAZ
- JASSLEIDY LASSO CONDE
- CLAUDIA PATRICIA CANTILLO
- BRAYANT ANDRADE MENDEZ
- HERNANDO GIL TOVAR
- ALFREDIS GONZALEZ HERNANDEZ</t>
  </si>
  <si>
    <t>Debido a que es una actividad que se desarrolla con los excedentes de Facultad, las unidades académico-administrativas son las responsables de la ejecución de las alianzas con el sector.</t>
  </si>
  <si>
    <t>Actividades pertinentes a esta acción quedan pendientes para realizarse en el 4to trimestre</t>
  </si>
  <si>
    <t xml:space="preserve">Consolidación Comité Regionalización (Construcción de la Política Regionalización)
</t>
  </si>
  <si>
    <t>Se apoyaron las siguientes personas, así:
Mònica Martìnez Barragàn.  Prestaciòn de servicios profesionales de apoyo administrativo en la direcciòn de sedes.  Contrato VIPS126-A2017.                                       Reconocimiento por concepto de monitorías en el desarrollo de actividades de la Política Institucional de Regionalización 2017-2032, desde el 04 de mayo al 30 de junio, a los siguientes estudiantes:  Angie Ximena Silva, Andres Felipe Trujillo, Robinson Medina Gómez y María Alejandra Alvarez.    Resolucion 041. 
Jose Domingo Alarcón.  Apoyo económico para combustible y viáticos a un docente asesor de la Vicerrectoria de  Investigación. en los municipios de La Plata 18 de mayo Garzón el 19 de mayo y Pitalito 23 de mayo, con el fin de desarrollar el proyecto transcurricular en las sedes.   Avance 096.
Lisímaco Vallejo Cuellar.  Apoyo económico para transporte y manutención a un contratista asesor de la Vicerrectoria de  Investigación  en los municipios La Plata 18 de mayo Garzón el 19 de mayo y Pitalito 23 de mayo, con el fin de desarrollar el proyecto transcurricular en las sedes. Avance 097.
Israel Botache Capera.   Apoyo económico para gastos de manutención y transporte de los representantes de los estudiantes de cada una de las sedes, con el fin de asistir al comité extraordinario de regionalización en la sede de posgrados desplazándose desde las sedes de Pitalito, Garzón y La Plata a la ciudad de Neiva el día 1 de junio de 2017.  
Ismael Efren Benavides Reyes.  Apoyo económico para gastos de manutención y transporte, con el fin de asistir al comité extraordinario de regionalización en la sede de posgrados desplazándose desde la sede de Pitalito a la ciudad de Neiva el día 1 de Junio de 2017.
 Angelica Cruz Rojas.   Apoyo económico para gastos de manutención y transporte, con el fin de asistir al comité extraordinario de regionalización en la sede de posgrados desplazándose desde la sede de la Plata a la ciudad de Neiva el día 1 de Junio de 2017.
Carlos Eduardo Rivera.  Apoyo económico para gastos de manutención y transporte, con el fin de asistir al comité extraordinario de regionalización en la sede de posgrados desplazándose desde la sede de Garzón a la ciudad de Neiva el día 1 de Junio de 2017.</t>
  </si>
  <si>
    <t>Se encuentra en un 50% el avance de la construcción la política de regionalización</t>
  </si>
  <si>
    <t>Se continúa con el proceso de la construcción de la política pública para lo cual se han desarrollado talleres con el fin de terminar el documento para el 4to trimestre de este año.</t>
  </si>
  <si>
    <t>MACROPROYECTOS PARA LA VIGENCIA 2017 FUERON APROBADOS 3  Y A LA FECHA SE ENCUENTRAN EN DESARROLLO:
Se continúa financiando los dos macroproyectos del primer trimestre:
1- Acompañamiento al proceso organizativo de defensa de la cuenca del rio Magdalena para la garantía y restablecimiento de los derechos humanos y los Desca de los afectados por la política minero energética en el departamento del Huila fase III.
2-  Programa de Proyección Social del Museo Geológico y del Petróleo de la Facultad de Ingeniería
3 - Delegación del profesor Roberto Vargas por parte de la universidad ante el centro de desarrollo minero energético - CDT MINERO ENERGÉTICO</t>
  </si>
  <si>
    <t>PROYECTOS MENOR CUANTÍA</t>
  </si>
  <si>
    <t>Se firmó el contrato interadministrativo 771/2017 con el municipio de Neiva, vinculando 62 contratistas.</t>
  </si>
  <si>
    <t>SE SUSCRIBE E INICIA LA EJECUCIÓN DEL CONVENIO INTERADMINISTRATIVO No. 1030 DE 2017 ENTRE EL MUNICIPIO DE NEIVA Y USCO</t>
  </si>
  <si>
    <t>Mediante Acta No. 02 de fecha 02 de febrero de 2017 del Comité de Proyección Social se aprueba financiar  7 proyectos solidarios que quedaron en Banco de Proyectos en 2016, así:
1- Fortalecimiento de la prevención, diagnóstico temprano y adecuado manejo de dengue dentro de un modelo de atención primaria en salud.
2- EL Placer de Leer.
3- Observatorio de los derechos de la infancia y la adolescencia en la ciudad de Neiva, alternativas de mejoramiento a la situación de los niños y niñas y adolescentes de Neiva, a partir del empoderamiento de los derechos a la existencia y participación.
4- Educando con Amor: Estrategias Neurocognitivas y Emocionales dirigidas a familias de niños con trastornos de conducta.
5- Ocio Creativo.
6- Usos, Manejo, Comercialización y análisis bromatológico proximal del agraz (vitis tilifolia humb. &amp; bonpl.ex schult) en la comunidad que habita la zona de reserva del rio las ceibas (Neiva-Huila-Colombia).
7- Formación a Formadores en el manejo de la violencia y atención de víctimas de abuso sexual y maltrato.</t>
  </si>
  <si>
    <t>Se estan apoyando los siguientes 2 proyectos pertenecientes a la convocatoria 2017:
- Fac. Ciencias sociales y humanas - Agenda joven con identidad política y comunicaciones
- Fac. Ciencias sociales y humanas - Derechos sexuales y reproductivos en familias en situacion de desplazamiento en la ciudad de Neiva
Adicionalmente se estan ejecutando 7 proyectos que estaban en bancos correspondientes a la convocatoria 2016</t>
  </si>
  <si>
    <t>EVENTOS ACADÉMICOS (SIMPOSIO, SEMINARIO, DIMPLOMADO, TALLERES, CONGRESOS, ETC)</t>
  </si>
  <si>
    <t>Para el mes de agosto se tiene proyectado el desarrollo del primer congreso nacional e internacional de la Proyección Social.</t>
  </si>
  <si>
    <t xml:space="preserve"> - Se realizó el evento correspondiente a Expohuila 2017
- REALIZACION Y PARTICIPACION EN EVENTOS DE PROYECCION SOCIAL DE LA FAC. SALUD: 4 EVENTOS
-  REALIZACION Y PARTICIPACION EN EVENTOS DE PROYECCION SOCIAL DE LA FAC. DE ECONOMÍA Y ADMINISTRACIÓN: 28 EVENTOS
-  REALIZACION Y PARTICIPACION EN EVENTOS DE PROYECCION SOCIAL DE LA FAC. CIENCIAS EXACTAS Y NATURALES: 1  EVENTO
-  REALIZACION Y PARTICIPACION EN EVENTOS DE PROYECCION SOCIAL DE LA FAC. CIENCIAS SOCIALES Y HUMANAS: 1  EVENTO</t>
  </si>
  <si>
    <t>A la fecha no se ha ejecutado el recurso debido a que no se han suscrito convenios que requieran el apoyo con la adquisición de pólizas entre otros.</t>
  </si>
  <si>
    <t>Se está apoyando con la financiación de la suscripción de 2 convenios.
- Convenio intercambio brasil
- CONTRATO  INTERADMINISTRATIVO 879</t>
  </si>
  <si>
    <t>APOYO GESTIÓN ACADÉMICO ADMINISTRATIVA</t>
  </si>
  <si>
    <t>Se contratan 23 personas para apoyo, así
Diego Fernando González.  Contrato FE 001/17A
Xenny Yolima Méndez.  Contrato FE 002/17A
Tania Alexandra Medina.  Contrato FE 003/17A  
Carlos Fernando Quimbaya.   Contrato FE 004/17A
Libia Marina Preciado.  Contrato
Sandra Bibiana Gómez.  Contrato
Isabel González Sierra.  Contrato
Jesús David Falla Arango.  Contrato
Manuel Alexander Lara Cárdenas.  Contrato
Diana Yubely Vargas Rojas.  Contrato
Ana María Mañosca Ramírez  Contrato
Carlos Andrés Montalvo Arce.  Contrato
María Yedme Sánchez.  Contrato
Lizeth Vargas Sánchez.  Contrato
Camilo Andrés Nuñez.  Contrato
Wilmer Alexander Barbosa.  Contrato
Sandra Constanza Vanegas Camacho.  Contrato
Jessica Paola Bermeo.  Contrato
Juan Diego Chávarro.  Contrato
Fabián Esteban Charry Rodríguez.  Contrato
María Piedad Rincón.  Contrato
Viviana Andrea López.  Contrato VIPS 009
Alba Luz Ocaña.  Contrato VIPS 010</t>
  </si>
  <si>
    <t>Apoyo a la gestión academico-administrativa de la Proyección Social con la contratación de 27 personas</t>
  </si>
  <si>
    <t>YA FUE IMPLEMENTADA DEBE DESAPARECER (CAMBIAR SOLO A OPERACIONALIZACIÓN - Número de Miembros de la Comunidad Universitaria Atendidas Mediante Asesorías)</t>
  </si>
  <si>
    <t>Se contratan 2 personas para apoyo.
Rafael Méndez. Transporte y manutención para dos integrantes de Emprendimiento para asistir a Seminario en Quindío.  Avance 025.</t>
  </si>
  <si>
    <t>Se han realizado 48 asesorías hasta el segundo trimestre</t>
  </si>
  <si>
    <t>Se han realizado 16 asesorías en el tercer trimestre</t>
  </si>
  <si>
    <t>ALIANZAS</t>
  </si>
  <si>
    <t>No se ha desarrollado la Asamblea General de la Red de Universidades, por consiguiente no se conoce las líneas base con las cuales se priorice la ejecución de  proyectos que a su vez fortalezcan la Alianza Universidad-Empresa-Estado-Sociedad a manera de cofinanciación.</t>
  </si>
  <si>
    <t xml:space="preserve">  Jhon Alexander Vallejo.  Se contrata para prestar servicios especializados de asesoría y gestión administrativo en la formulación  de proyectos de tipo Civil, infraestructura Agrícola, agroalimentos, montaje o explotación de bienes muebles o inmuebles que por su naturaleza y características queden comprendidos en la técnica propia de la producción agroindustrial y  gestionados en el marco de la Alianza universidad Empresa Estado Sociedad.
- Se contratan los servicios de Muñoz Abogados SAS para que presten el servicio de trámite y pago del examen de patentabilidad y reivindicaciones adicionales de la solicitud de la patente: “Proceso Para El Tratamiento De Vinaza”, ante la Superintendentica de Industria y Comercio, en el marco de la relación Universidad-Empresa-Estado-Sociedad.
- Se tramita la expediciòn de los certificados de libertad y tradición actualizados a la fecha, de los inmuebles correspondientes a la sede central (Neiva), sede la Plata, sede postgrados, y sede Altico (carrera 10 No. 3-64), sede Garzón y sede Pitalito, por valor de $15.800 cada uno (6), necesarios para demostrar la situación jurídica de los predios y el soporte de propiedad para todos los proyectos que se están presentando y ejecutando ante el Sistema General de Regalías, el CODECTY (consejo departamental de ciencia tecnológica) OCAD (Órgano colegiado de Administración y decisión), la Gobernación del Huila y el SIDECTI Huila.
También el pago a la cámara de comercio de Neiva, por certificado, de registro Único de proponentes (RUP) de la universidad Surcolombiana del año 2017. 
4 alianzas estratégicas que se vienen desarrollando hasta ahora: minero energética, EPN, CAM, Club Rotario (RSU)</t>
  </si>
  <si>
    <t>Se continúa con las 4 alianzas estratégicas que se vienen desarrollando hasta ahora: minero energética, EPN, CAM, Club Rotario (RSU)</t>
  </si>
  <si>
    <t>PROYECTOS ALIANZAS</t>
  </si>
  <si>
    <t>Se convoca las reuniones con la Alianza.</t>
  </si>
  <si>
    <t xml:space="preserve">El Consejo academico aprobo la delegacion del profesor roberto vargas como contrapartida de la universidad al centro de desarrollo tecnologico minero energetico en la cual equivale a 440 horas de dedicacion de docente a las diferentes actividades y metas que de esa delegación se deriven. CDT MINERO ENERGÉTICO
Para el mes de octubre se tiene programado realizar la asamblea de aliaza universidad-empresa-estado-sociedad, además se continua con las reuniones de red de universidades. </t>
  </si>
  <si>
    <t>CREACIÓN DEL COMITÉ DE PAZ DE LA USCO</t>
  </si>
  <si>
    <t>NO TIENE RECURSOS ASIGNADOS</t>
  </si>
  <si>
    <t>Desde la proyección social se ha contribuido en que dentro de la estrategia que tiene la Universidad fue crear el comité Surcopaz integrado por vicerrectoría académica, los profesores William Torres, Miryam Oviedo, Dolly Castro, Salud, la profesora de Ciencia política Alexandra Uribe, la profesora Yamile Johanna Peña, asesora de vicerrectoría académica, la Profesora Claudia directora de Proyección Social y representantes de estudiantes ante el superior. Ese comité se reúne una vez a la semana en el cual se ha avanzado en la construcción del acuerdo de inclusión de la comunidad excombatiente a formación académica y no se ha desarrollado con recursos de proyección social, ha sido por parte de la Universidad, la vicerrectoría académica. Se ha realizado la visita de campo a la inspección de la montañita que fue alrededor de 14 horas en movilizar los docentes hasta la localidad. La última sesión que se sostuvo entre los días 25 y 29 de Agosto, se acordó en que la vicerrectora académica se encargaría de conseguir el acta de creación del comité Surcopaz para la universidad ante el consejo académico. primera tarea del comité que es elaborar acuerdo para la inclusión de la población víctimas del conflicto. 
Por proyección social se desarrolló la estrategia o propuesta tanto técnica como financiera para el proyecto Surcopaz y fue socializada ante consejo académico.</t>
  </si>
  <si>
    <t xml:space="preserve"> - Proyecto 1 es un convenio con la alcaldía de Neiva – secretaria de equidad – para desarrollar el diplomado en formación política de mujeres (ya está en ejecución) ya se está en el desarrollo del módulo 2 (son 5 módulos) que se arrancó el 1 de septiembre y quedaron inscritas 53 mujeres para todos los 5 módulos
 - Proyecto 2 Ejecución de la primera fase de la formulación del plan decenal de juventud que había un pacto que se había firmado entre el gobernador y el rector, pero en este momento se presenta un inconveniente porque no se ha podido iniciar debido a que al parecer la gobernación ha tomado la decisión de dejar eso para iniciarlo en el próximo año, entonces ese proyecto queda en Standby.</t>
  </si>
  <si>
    <t>Se está organizando el campamento Ondas, Se tiene proyectado para el mes de octubre, el campamento Ondas que reune instituciones educativas cercanas a nuestra Sede, donde se integra  la educación media  con la educación superior.</t>
  </si>
  <si>
    <t>SE EJECUTARA EN EL MES DE NOVIEMBRE LOS DIAS 8, 9 Y 10 EN GARZON  la realización del campamento Ondas (se espera aproximadamente 1700 personas) que reune instituciones educativas cercanas a nuestra Sede, donde se integra  la educación media  con la educación superior.
Se lleva un avance aproximado del 70%, hace falta la contratación, dentro de las actividades que se ha hecho con el equipo de trabajo están: asesorías, acompamento, formación a 450 grupos de investigación escolar Ondas, se está próximo a la conformación de la cadena observativa  en investigación que componen Ondas, semilleros y jóvenes investigadores reconocidos por Colciencas y los siguientes talleres,
1 - Tema: Sistematización de la información: Diario de Campo y bitacora - LISIMACO VALLEJO CUELLAR, CONTRATO VIPS 136-A2017
2 - Tema: Investigar una buena Onda, apoyo en la etapa de trayectoria de la indagación según metodología de la guía de investigación e innovación del Programa Ondas - AMANDA EDID BONILLA CALDERON, CONTRATO VIPS 135-A2017
3 - Tema: Análisis de base de datos cualitativos y cuantitativos de información recolectada de los proyectos de los grupos de investigación Ondas - LISIMACO VALLEJO CUELLAR, CONTRATO VIPS 315-B2017
4 - Tema:  Construcción y aplicación de instrumentos de recolección de datos e información en investigación - ANGELICA MARIA ESPAÑA MALDONADO, CONTRATO VIPS 313-B2017</t>
  </si>
  <si>
    <t>Pendiente por información, no se ha ejecutado en este trimestre</t>
  </si>
  <si>
    <t>PLAN ESTRATEGICO, YA SE HIZO YA ESTA APORBADA LA POLITICA</t>
  </si>
  <si>
    <t>La política de comunicaciones se creó en el 2013 pero el sistema arranco este año, se esta en proceso de construcción de un plan estratégico, se esta construyendo junto con calidad, indicadores, mapas de riesgos, etc.; se lleva un avance de un 50%. Debido a que la contratación de las unidades ha sido  por cortos periodos y por ende los avances no han sido significativos. Se ha avanzado de forma paulatina en compañía de los contratistas y con el apoyo de calidad en reuniones para construir los mencionados indicadores de gestion, mapas de riesgos y para elaborar finalmente el plan estrategico; el sistema de comunicaciones e información institucional es la unidad más nueva de la universidad.</t>
  </si>
  <si>
    <t>ADQUISICIÓN HOSTING - REVISTA 2017</t>
  </si>
  <si>
    <t>META YA CUMPLIDA, se pagó la renovación del hosting.</t>
  </si>
  <si>
    <t>Imagen institucional
Articulación y visibilización interna y externa
Manual de Identidad
Construcción de diferentes videos institucionales por unidad académico administrativa.
Emisora radial Surcolombiana
14 entrevistas Ágora
1 Programa Ágora Surcolombiana
1 Producto Vía universitaria
3 Productos en pre-producción
157 Programas radiales
Para lo cual se  contratan  las siguientes personas para apoyo administrativo:
Jerson Ramírez Iniguez.  CPS-004
William Camilo Cardozo.  CPS-005
Sheyla Stefanía Henao Moreno.  CPS-006
Tania Marcela Montano Cardozo.  CPS-007
Jorge Assad Chávarro.  CPS-008
Juan Pablo Herrera Moreno.  VIPS-024
Fernando Charry González.  O.A. 013
Germán Mauricio Montealegre. VIPS 034-A2017.
Juan Guillermo Soto.  VIPS 038-A2017.
Diego Fernando Achury.  VIPS 033-A2017.
Carlos Mauricio Romero.  VIPS 037-A2017
Isabel Cristina González Cedeño.  VIPS051-A2017.
Sayco.  Pago derechos de autor.  Orden Administrativa
Editora Surcolombiana.  Impresión 2 ediciones.  VIPS 085
Fondo de Tecnologías de la Información y las comunicciones</t>
  </si>
  <si>
    <t>META YA CUMPLIDA</t>
  </si>
  <si>
    <t>Se contrata a Jimmy Fernando Charry Tengonó
Aproximadamente 3000 piezas de difusión de los 22 programas académicos empleados en las Ferias de Surcolombianidad.</t>
  </si>
  <si>
    <t>El material producido para la invitación, difucsión y socializacion de eventos por las diferentes unidades cadademinco adminsitrativas se han desarrollado con normalida y atienden a los requerimientos planeteasdos en las propuestas o proyectos de los respectivos planes de accion (especialmente salud y economía)
-  451 productos entre escritos y audiovisuales del sistema de comunicaciones e información institucional
Se soporta en los eventos incluidos por el plan de acción
- Facultad de economía: 26 diferentes tipos de piezas de publicidad (1000 ejemplares mas o menos por cada una)</t>
  </si>
  <si>
    <t>1 - Compra de HPLC, PARA EL DESARROLLO DE ACTIVIDADES DEL PROYECTO “CAFES - Coffee From Advanced Fermentation, Engineering and Sensing” firmado entre la Universidad de Manchester, Universidad de los Andes y Universidad Surcolombiana: CONTRATO VIPS 095-A2017</t>
  </si>
  <si>
    <t>YA SE CUMPLIÓ LA META, SE ADQUIRIERON 4 EQUIPOS</t>
  </si>
  <si>
    <t>NO SE HA EJECUTADO EN ESTE TRIMESTRE, PENDIENTE POR ADQUIRIR Y RENOVAR LICENCIAS</t>
  </si>
  <si>
    <t>YA SE CUMPLIÓ LA META, SE ADQUIRIERON Y RENOVARON 7 LICENCIAS SOFTWARE Y BASES DE DATOS ESPECIALIZADAS  PARA  ACTIVIDADES DE INVESTIGACIÒN, QUEDA PENDIENTE PAGO ELSEVIER</t>
  </si>
  <si>
    <t>Se apoyó a 18 docentes para la formación de alto nivel (Maestrias, doctorados, posdoctorados):
1 - ELIAS FRANCISCO AMORTEGUI CEDEÑO - Doctorado en Didáctica Especificas en la Universidad de Valencia – España, ORDEN ADMINISTRATIVA 003.
2 - ZULLY CUELLAR LOPEZ - Doctorado en en educación en la Universidad Autónoma de Madrid – España, ORDEN ADMINISTRATIVA 004
3 - FREDY ALBERTO MIER LOGATO - Doctorado en Lingüística en la Universidad de Antioquia, ORDEN ADMINISTRATIVA 005
4 - LADYS JIMENEZ TORRES - Doctorado en Literatura en la Universidad de Antioquia, ORDEN ADMINISTRATIVA 006
5 - FERNANDO GALINDO PERDOMO - Doctorado en Actividad Física y Deporte en la Universidad de Valencia, ORDEN ADMINISTRATIVA 011
6 - LISSETH SUGEY ROJAS BARRETO - Doctorado en Educación con la Universidad Autónoma de Madrid, ORDEN ADMINISTRATIVA 012
7 - CRISTIAN ARNOLDO RAMIREZ CASTRILLON - Doctorado en Estudios Territoriales en la Universidad de Caldas, ORDEN ADMINISTRATIVA 010
8 - CLAUDIA ANDREA RAMIREZ PERDOMO - Doctorado en Enfermeria en la Universidad de Antioquia, ORDEN ADMINISTRATIVA 008
9 - MAURICIO PENAGOS - Doctorado en Educación en Matemáticas en la Universidad Antonio Nariño, ORDEN ADMINISTRATIVA 009
10 - JENNY LISSETH AVENDAÑO LOPEZ - Doctorado en Ciencias Sociales Niñez y Juventud en la Universidad de Manizales en la alianza CINDE, ORDEN ADMINISTRATIVA 014
11 - LUIS ALFREDO MUÑOZ VELASCO - Doctorado en Desarrollo Sostenible en la Universidad de Manizales, ORDEN ADMINISTRATIVA 018
12 - JOSE JARDANI GIRALDO URIBE - Doctorado en Desarrollo Sostenible en la Universidad de Manizales, ORDEN ADMINISTRATIVA 019
13 - NERCY GUTIERREZ CARDOSO - Doctorado en Ciencia de la Educación, ORDEN ADMINISTRATIVA 020
14 - FRANCISCO JOSE MUÑOZ ORDOÑEZ - Doctorado en Agroindustria y Desarrollo Agrícola Sostenible, ORDEN ADMINISTRATIVA 022
15 - MIRYAM CRISTINA FERNANDEZ CEDIEL - Doctorado en Psicología en VRIJE UNIVERSITEIT BRUSSEL, AVANCE 011
16 - GERMAN DARIO HEMBUZ - Doctorado en Ciencias Sociales Niñez y Juventud que curso en la Universidad de Manizales con el Convenio CINDE, ORDEN ADMINISTRATIVA 023
17 - JOSE LEONARDO RUIZ MENDEZ - Doctorado en Educación y Cultura Ambiental en la Universidad Surcolombiana, ORDEN ADMINISTRATIVA 024
18 - RUBEN DARÍO VALBUENA - Doctorado en Agroindustria y Desarrollo Agricola Sostenible en la Universidad Surcolombiana, ORDEN ADMINISTRATIVA 026</t>
  </si>
  <si>
    <t>Se apoyó a 7 docentes para la formación de alto nivel (Maestrias, doctorados, posdoctorados):
1 - YINETH MEDINA ARCE - Doctorado en Pensamiento Complejo en la Universidad MULTIVERSIDAD MUNDO REAL EDGAR MORIN, ORDEN ADMINISTRATIVA No. 060
2 - JASMIDT VERA CUENCA - Doctorado en Pensamiento Complejo en la Universidad MULTIVERSIDAD MUNDO REAL EDGAR MORIN, ORDEN ADMINISTRATIVA No. 059
3 - JULIO ROBERTO JAIME SALAS - Doctorado en Ciencias Sociales Niñez y Juventud en la Universidad FUNDACIÓN CENTRO INTERNACIONAL DE EDUCACIÓN Y DESARROLLO HUMANO-CINDE, ORDEN ADMINISTRATIVA No. 061
4 - SONIA AMPARO SALAZAR - Doctorado en Educación en la UNVIERSIDAD DE DEUSTO DEUSTUKO UNIBERTSITATEA, ORDEN ADMINISTRATIVA No. 067
5 - ALBERTO DUCUARA MANRIQUE - Doctorado en Agroindustria y Desarrollo Agrícola Sostenible en la UNIVERSIDAD SURCOLOMBIANA, ORDEN ADMINISTRATIVA No. 083
6 - ALEXANDER QUINTERO BONILLA - Doctorado en Administración en la UNIVERSIDAD EAFIT, ORDEN ADMINISTRATIVA No. 084
7 - PATRICIA GUTIERREZ PRADA - Doctorado de Modelado en Política y Gestión Pública en la Universidad FUNDACIÓN UNIVERSIDAD DE BOGOTÁ JORGE TADEO LOZANO, ORDEN ADMINISTRATIVA No. 090</t>
  </si>
  <si>
    <t>Se apoyó al Fortalecimiento de las capacidades investigativas para la acreditación Institucional a través de la estructuración del plan de mejoramiento y la divulgación de la información sistematizada de productos resultado de investigación en los últimos 5 años: (Página WEB y (2) dos videos) 100%
- Elaboración de los avisos con los nombres de las siete (7) facultades de la Universidad Surcolombiana, CONTRATO VIPS 133-A2017
- Elaboración de dos videos informe videos sobre los alcances de la Universidad Surcolombiana en las áreas de visibilidad nacional e internacional, investigación y creación artística y pertinencia e impacto social.</t>
  </si>
  <si>
    <t>YA SE CUMPLIÓ LA META, YA SE HIZO PROGRAMA DE PEDAGOGÍA PARA LA INVESTIGACIÓN</t>
  </si>
  <si>
    <t>Para el primer trimestre se apoyó para le ejecución de 8 proyectos relacionados así (MEDIANTE ACTA No. 2 DE ENERO 26 DE 2017) - SI-PY1.5 Y SI-PY4.1 SON ACCIONES QUE VAN UNIDAS:
1 - CONSTRUCCIÓN DE PRÁCTICAS PEDAGÓGICAS ALTERNATIVAS PARA LA FORMACIÓN DE MAESTROS PARA LA PAZ, LA EQUIDAD Y LA RECONCILIACIÓN: CONTRATO VIPS 052-A2017 
2 - LOS SISTEMAS DINÁMICOS DEL CAMBIO CLIMÁTICO Y LAS AFECTACIONES SOBRE LOS SISTEMAS ECOLÓGICOS LOCALES: CONTRATO VIPS 058-A2017, AVANCE 162
3 - CONOCIMIENTOS Y PRÁCTICAS QUE REALIZAN LOS PACIENTES DIABÉTICOS PARA LA PREVENCIÓN DEL PIE DIABÉTICO EN LA EMPRESA SOCIAL DEL ESTADO (ESE) CARMEN EMILIA OSPINA: CONTRATO VIPS 298-B2017, AVANCE 020, AVANCE 079
4 - ACTITUD, CONOCIMIENTO Y USO DE LAS TECNOLOGÍAS DE LA INFORMACIÓN Y LA COMUNICACIÓN (TIC) PARA LA ENSEÑANZA DE LAS CIENCIAS NATURALES EN LAS INSTITUCIONES EDUCATIVAS PÚBLICAS DEL MUNICIPIO DE NEIVA. UN ESTUDIO DIAGNÓSTICO: CONTRATO VIPS 128-A2017, AVANCE 048, CONTRATO VIPS 171-A2017, AVANCE 118
5 - COMPETENCIAS GERENCIALES DE LOS LÍDERES ORGANIZACIONALES DEL SECTOR PRODUCTIVO DE LAS PASIFLORAS EN EL DEPARTAMENTO DEL HUILA: AVANCE 026, VIPS 293-B2017
6 - LA CONCILIACIÓN PROCESAL OBLIGATORIA COMO MECANISMO DE DESCONGESTIÓN JUDICIAL EN LA JURISDICCIÓN CONTENCIOSA ADMINISTRATIVA DE ANTIOQUIA, BOLÍVAR, CUNDINAMARCA Y VALLE DEL CAUCA: CONTRATO VIPS 069-A2017, CONTRATO VIPS 287-B2017
7 - IDENTIFICACIÓN DE ESPECIES ICTICAS EN EL ÁREA DE INFLUENCIA DE LA HIDROELÉCTRICA DEL QUIMBO: CONTRATO VIPS 083-A2017, AVANCE 083, CONTRATO VIPS 213-A2017, AVANCE 202, CONTRATO VIPS 213-A2017
8 - CARACTERIZACIÓN DE LAS ACCIONES CONSTITUCIONALES DERIVADAS DE LA CONSTRUCCIÓN DE LA HIDROELÉCTRICA “EL QUIMBO”: AVANCE 014, CONTRATO VIPS 082-A2017, AVANCE 029, AVANCE 129</t>
  </si>
  <si>
    <t>Para el segundo trimestre se apoyó para le ejecución de 11 proyectos relacionados así (MEDIANTE ACTA No. 2 DE ENERO 26 DE 2017) - SI-PY1.5 Y SI-PY4.1 SON ACCIONES QUE VAN UNIDAS:
1 - NIVELES DE INTERFERÓN GAMMA Y CITOCINAS PRO-INFLAMATORIAS EN LAVADO BRONCO-ALVEOLAR DE PACIENTES ADULTOS CON SOSPECHA DE TUBERCULOSIS: CONTRATO VIPS 309-B2017, CONTRATO VIPS 288-B2017, CONTRATO VIPS 314-B2017
2 - CORRELATOS NEUROFISIOLÓGICOS (ELECTROENCEFALOGRAFÍA) DEL PROCESAMIENTO EMOCIONAL DE LOS PERFILES CLÍNICOS EN NIÑOS: RESOLUCIÓN No. 069, CONTRATO VIPS 290-B2017
3 - ANÁLISIS DE ESTABILIDAD EN EL MODELO PARA EL VIH EN EL MUNICIPIO DE NEIVA: CONTRATO VIPS 302-B2017, ORDEN ADMINISTRATIVA No. 089
4 - INFLUENCIAS EN LA PRODUCCIÓN DE CONTENIDOS DE LAS EMISORAS UNIVERSITARIAS DE INTERÉS PÚBLICO DE LA REGIÓN SUR DE COLOMBIA: CONTRATO VIPS 232 -B2017, CONTRATO VIPS 231 -B2017, AVANCE 131, AVANCE 167, AVANCE 168, AVANCE 182, AVANCE 241, AVANCE 242
5 - MARCADORES BIOLÓGICOS NEUROCOGNITIVOS DE NIÑOS Y NIÑAS DE 7 A 9 AÑOS VÍCTIMAS DE ACOSO ESCOLAR (2016 20%): AVANCE 126
6 - ESTUDIO DE CARACTERIZACIÓN DE LA POBLACIÓN DEDICADA AL SERVICIO DE TRANSPORTE URBANO EN MOTO Y FORMULACIÓN DE POLÍTICAS PÚBLICAS ALTERNATIVAS PARA LA CIUDAD DE NEIVA (H): CONTRATO VIPS 255-B2017, AVANCE 135, AVANCE 144, CONTRATO VIPS 261-B2017
7 - DESARROLLO DE UN NUEVO PRODUCTO A BASE DE FILETE DE TILAPIA (OREOCHROMIS SP.) MEDIANTE LA APLICACIÓN DE MÉTODOS DE SALADO: CONTRATO VIPS 303-B2017
8 - RECONSTRUCCIÓN DE LOS ITINERARIOS TERAPÉUTICOS DE LAS MUJERES CON CÁNCER DE MAMA PARA LA RECONSTRUCCIÓN DE LOS SENOS EN LA CIUDAD DE NEIVA (HUILA): AVANCE 234
9 - ESTUDIO DE LA FRICCIÓN EN MECÁNICA CUÁNTICA: CONTRATO VIPS 311-B2017
10 - CALIDAD DE VIDA Y ASPECTOS PSICOSOCIALES EN UNA MUESTRA DE PACIENTES DIAGNOSTICADOS CON SÍNDROME DE FIBROMIALGIA EN LAS CIUDADES DE NEIVA Y TUNJA.: AVANCE 197, AVANCE 249, CONTRATO VIPS 301-B2017, CONTRATO VIPS 299-B2017
11 - DISEÑO E IMPLEMENTACIÓN DE SISTEMA DE GUÍA INERCIAL PARA EL CONTROL DE VUELO AUTÓNOMO DE UN HELICÓPTERO AEROMODELO: AVANCE 175, CONTRATO VIPS 304-B2017AVANCE 209, AVANCE 223</t>
  </si>
  <si>
    <t>NO SE HA EJECUTADO EN ESTE TRIMESTRE, PENDIENTES POR DESARROLLAR</t>
  </si>
  <si>
    <t>Proyecto transversalidad de la investigacion de lo académico que fue aprobado por el COCEIN y el consejo académico buscar acta cocein y acta académico: 3 talleres, 1 cocein, 2 académico y 3 profesores: ACTA No. 7 COCEIN</t>
  </si>
  <si>
    <t>YA SE CUMPLIÓ LA META, SE DESARROLLARON 3 TALLERES</t>
  </si>
  <si>
    <t>NO SE HA EJECUTADO EN ESTE TRIMESTRE, NO SE HA REALIZADO NINGUN TALLER AÚN, PENDITE</t>
  </si>
  <si>
    <t>YA SE CUMPLIÓ LA META, YA SE REALIZÓ TALLER</t>
  </si>
  <si>
    <t>NO SE HA EJECUTADO EN ESTE TRIMESTRE, PROGRAMADAS TERCER TRIMESTRE</t>
  </si>
  <si>
    <t>1 - Tema: Sistematización de la información: Diario de Campo y bitacora - LISIMACO VALLEJO CUELLAR, CONTRATO VIPS 136-A2017
2 - Tema: Investigar una buena Onda, apoyo en la etapa de trayectoria de la indagación según metodología de la guía de investigación e innovación del Programa Ondas - AMANDA EDID BONILLA CALDERON, CONTRATO VIPS 135-A2017
3 - Tema: Análisis de base de datos cualitativos y cuantitativos de información recolectada de los proyectos de los grupos de investigación Ondas - LISIMACO VALLEJO CUELLAR, CONTRATO VIPS 315-B2017
4 - Tema:  Construcción y aplicación de instrumentos de recolección de datos e información en investigación - ANGELICA MARIA ESPAÑA MALDONADO, CONTRATO VIPS 313-B2017</t>
  </si>
  <si>
    <t>SE ESTA EN PROCESO DE EVALUACIÓN Y SELECCIÓN DE LAS PROPUESTAS DE INVESTIGACIÓN QUE VAN A SER ASESORADOS PARA EL AÑO 2017
Nombre del Grupo de Investigación - Pregunta de Investigación
1. CONVIVIR EN PAZ - ¿Cuáles son los problemas de convivencia escolar que cotidianamente se observan en la Institución Educativa San Lorenzo del Municipio de Suaza?
2. TEJEDORES DE SUEÑOS - ¿Cómo rescatar la artesanía del sombrero Suaza para que no desparezca su tradición y como proyectar un relevo generacional en los jóvenes del municipio de Suaza para que continúe la trayectoria de las artesanas de avanzada edad?
3. CLUB ESCOLAR DE CIENCIA, TECNOLOGIA E INNOVACIÓN SAN JUAN BOSCO - ¿Históricamente cuáles plantas medicinales han sido utilizadas en la comunidad educativa y para qué sintomatología son utilizadas?, ¿Las familias de los estudiantes de los grados de secundaria en qué proporción son adictas al tratamiento con productos naturales o de la medicina farmacéutica?, ¿Cuáles son las razones de ese comportamiento?
4. SONAE - ¿cuáles son las especies de plantas de uso comestibles en el casco urbano, así como en las veredas Pueblo Viejo, Llanitos y buenos Aires del Municipio Acevedo y como se elaboran las recetas gastronómicas locales a partir de ellas?
5. PINVAMAC (PEQUEÑOS INVESTIGADORES AMBIENTALES DE ACEVEDO) - ¿cuál es el estado actual en la que se encuentra la quebrada el cangrejo del Municipio de Acevedo, Huila?
6. PEQUEÑOS INNOVADORES - ¿Que utilidad se le puede dar a los residuos sólidos de la institución educativa San Adolfo sede la Esperanza?
7. SANADOECO - Cómo aprovechar algunos residuos sólidos en la transformación manual para el embellecimiento de nuestra Institución.
8. REVERDESER - Qué viabilidad hay en la producción de abono orgánico con la pulpa de café en la institución educativa San Adolfo
9. SEMILLAS DE INVESTIGACION - ¿cuál es la onda de luz más benéfica para el crecimiento de semillas de frijol, maíz y arveja?
10. VIGIAS AMBIENTALES ESCOLARES - ¿Cuáles fuentes hídricas de la región han desaparecido y cuales han disminuido su caudal? ¿Cuáles han sido las causas de la desaparición o disminución de caudales? ¿Qué acciones se pueden sugerir para  preservación? 
11. LIBROS LIBRES - ¿Cómo lograr que los estudiantes de la zona rural de nuestro municipio puedan acceder a obras literarias de bajo costo y alta calidad sin violar derechos de autor?
12. LUPITOS - ¿Cómo obtener gas natural a partir de los residuos orgánicos producidos en nuestra comunidad educativa?
13. EN LA PREVENCIÓN DE LA DESERCIÓN ESCOLAR - ¿Cuáles son las causas que provocan la deserción escolar y que estrategias se pueden implementar para reducir la problemática teniendo en cuenta la taza presentada en el año 2016 en la Institución educativa Esteban Rojas Tovar del municipio de Tarqui Huila?
14. CONECTATE CON EL INGLÉS "CONECTA2" - ¿Cuál es la mejor técnica para el aprendizaje de vocabulario básico en inglés para los estudiantes de la zona rural de la I.E San Isidro del municipio de Acevedo dentro y fuera del aula de clase?
15. RECICLANDO SUEÑOS - ¿Qué estrategias implementar para que los niños y la comunidad educativa San Isidro adopten Como práctica cotidiana la selección de los residuos sólidos y fomento de una cultura ambiental de la mano de la comunidad y las autoridades ambientales del municipio desarrollando  la Construcción de cultura ambiental y ciudadanía?
16. FUTURITOS AMIGOS DEL MEDIO AMBIENTE - ¿Cómo podemos reutilizar los residuos sólidos de la Institución Educativa San Juan Bosco para minimizar la contaminación ambiental en nuestra comunidad estudiantil?
17. CONQUISTADORES DEL ENTORNO - ¿Cómo está el entorno de la fuente termal y azufrada que desemboca en la quebrada del Chuyaco del municipio de Tarqui? ¿Cómo podemos preservar esta fuente?
18. ELECTRÓN - ¿Cuáles plantas medicinales y para qué sintomatología podrían ser utilizadas en la comunidad educativa de la I.E. San Isidro?
19. DEFENSORES DEL AGUA - ¿En qué condiciones se encuentra el agua en los nacederos de las veredas Las Juntas, El Vergel, Alto Tablón, La Argentina y Esmeralda? ¿Cómo cuidarlas?
20. TEJIENDO PASOS - ¿Como el arte del tejido de la iraca desde el saber tradicional fortalece el patrimonio cultural y la educación propia de la comunidad educativa de la Institución Educativa la Unión del municipio de Suaza?
21. AQUANIÑOS - ¿El árbol nacedero aumenta los caudales hídricos de la vereda las Brisas de San Isidro Acevedo Huila?
22. CAFETERITOS INVESTIGADORES - ¿Cómo nace, crece y se produce el árbol de café?
23. LOS DRAMÁTICOS FASE II - Cómo potenciar mis habilidades en la puesta en escena?
24. ORALIDAD Y ESCRITURA: TEJIENDO IDENTIDAD A PARTIR DE NUESTRO PASADO - ¿Cómo nuestra memoria colectiva y el pasado, expresado en los  mitos y leyendas,  reafirma nuestra identidad huilense  y el amor por nuestra región?
25. GREEN ENERGY - ¿Cómo aprovechar la energía magnética para aplicarla en la vida cotidiana de los educandos de grado Séptimo de la Institución Educativa Marticas del municipio de Acevedo - Huila?
26. ROBOTICS - ¿Cómo aplicar la robótica desde  el área de Ciencias Naturales en los niños de grado Cuarto de la Institución Educativa Marticas de Acevedo, Huila?
27. LOS DRONS - ¿Cómo incentivar el interés por la robótica con recursos caseros en el grado Octavo de la Institución Educativa Marticas del municipio de Acevedo - Huila?
28. LOS PRIME - ¿Cómo diseñar un sistema de transformación de la energía con recursos reciclables en el grado Quinto de la Institución Educativa Marticas del municipio de Acevedo - Huila?
29. ECOCREADORES - ¿La fabricación de algunos útiles escolares con material casero y reciclado permitirá aumentar la eficiencia académica de los estudiantes de la I.E. Marticas del municipio de Acevedo?
30. TECNO-RECICLADORES - ¿Como las salas de monitores en red con una sola C.P.U contribuyen  a solucionar el problema de la falta de material audiovisual para el desarrollo académico y contribuye a la parte ambiental?
31. PEQUEGENIOS - Cuales son las fortalezas y debilidades de utilizar de algunas plantas medicinales en el control del vectores (cucarachas)
32. LOS CREATIVOS - cómo utilizar la biomasa y generar energía?
33. ESCRITORES DE LIBERTAD - ¿Cómo fortalecer la comunicación y la sana convivencia mediante la ejecución del periódico escolar virtual, estimulando la lectura y comprensión lectora en los estudiantes de los grados tercero, Cuarto y quinto de la Institución Educativa la Unión del municipio de Suaza Huila?
34. ALIMENTANDO CON AMOR ATRAVES DE NUESTRA HISTORIA - ¿Cuál es la importancia del aprovechamiento y utilización de los productos tradicionales de la región de San José de Riecito en el municipio de Acevedo Huila?
35. FAMILECTORES - ¿Cuál es el nivel educativo y los hábitos lectores de los padres de familia y estudiantes de la sede principal de la institución educativa la Victoria y que estrategias se pueden implementar para mejorar la formación de hábitos de estudio?
36. GUARDIANES AMBIENTALES - ¿Cómo podemos mejorar nuestro entorno ambiental a través del trabajo en equipo con los miembros de la comunidad de la Institución Educativa La Victoria?
37. ABONOR - Como Fortalecer procesos de certificación en la producción de abonos orgánicos para implementar la agricultura limpia.
38. COMIENDO ME NUTRO Y APRENDO - ¿Cómo crear buenos hábitos alimenticios en los 23 Estudiantes  de la sede Paraíso de la I.E. La Bernarda del municipio de Guadalupe - Huila?
39. EN LA ONDA DEL RECICLAJE - ¿Históricamente cuáles han sido las prácticas más usuales en la disposición final de los residuos orgánicos e inorgánicos? ¿Cuáles considera como buenas prácticas en esta materia que puedan ser tenidas en cuenta en la cultura ciudadana ambiental?
40. LOS AGENTES DEL AMBIENTE - ¿Cómo podemos disminuir la contaminación del medio ambiental a través de la utilización de los desechos que se producen a la hora del procesamiento del café en la I. E. Bateas Sede El Encanto?
41. GUADUALITOS - ¿Cómo se puede establecer un plan de aprovechamiento sostenible para la especie Guadua en la comunidad educativa de las veredas La Colonia y Los Guaduales?
42. LOS AMIGOS DE LA TIERRA - ¿Cómo disponer y aprovechar de forma adecuada los residuos sólidos orgánicos e inorgánicos generados en la sede Aguas Claras de la IE San Adolfo del municipio de Acevedo?
43. LOS ECOLOGISTAS DEL FUTURO - ¿Por qué a los niños y niñas de la Sede Sartenejal, les cuesta trabajo reciclar?
44. SEMILLAS DE AMOR - ¿Cuál es la incidencia que tiene la huerta escolar en la construcción de aprendizajes significativos, desde la interdisciplinariedad en los niños y niñas de la Institución Educativa José Acevedo y Gómez – Sede El Mirador?
45. EUREKA - ¿fuente hídrica? ¿Qué acciones podemos realizar para recuperarla?
46. BIOJUVENTUD - ¿Cómo podemos implementar procesos de calidad en la producción de Bioinsecticidas?</t>
  </si>
  <si>
    <t>Ya se cumplió la meta y se sigue apoyando al desarrollo de 39 proyectos formulados por los grupos con un avance total en promedio total de 83% hasta el tercer trimestre, en el marco del convenio ONDAS: PROPUESTAS DE INVESTIGACIÓN SELECCIÓNADAS QUE VAN A SER ASESORADOS PARA EL AÑO 2017
Nombre del Grupo de Investigación - Pregunta de Investigación - Avance - Porcentaje
1. CONVIVIR EN PAZ - ¿Cuáles son los problemas de convivencia escolar que cotidianamente se observan en la institución educativa san Lorenzo del Municipio de Suaza? - Se han realizado 3 visitas de asesoría presencial y 2 virtuales. Hasta el momento se han diligenciado hasta la bitácora 7 – 87,5%
2. TEJEDORES DE SUEÑOS  - ¿Cómo rescatar la artesanía del sombrero Suaza para que no desparezca su tradición y como proyectar un relevo generacional en los jóvenes del municipio de Suaza para que continúe la trayectoria de las artesanas de avanzada edad? - Se han realizado 3 visitas de asesoría presencial y 2 virtuales. Hasta el momento se han diligenciado hasta la bitácora 6 - 75%
3. CLUB ESCOLAR DE CIENCIA, TECNOLOGIA E INNOVACIÓN SAN JUAN BOSCO - "¿Históricamente cuáles plantas medicinales han sido utilizadas en la comunidad educativa y para qué sintomatología son utilizadas?, ¿Las familias de los estudiantes de los grados de secundaria en qué proporción son adictas al tratamiento con productos naturales o de la medicina farmacéutica?, ¿Cuáles son las razones de ese comportamiento?” - Se han realizado 3 visitas de asesoría presencial y 2 virtuales. Hasta el momento se han diligenciado hasta la bitácora 7 - 87,5%
4. SONAE - ¿CUÁLES SON LAS ESPECIES DE PLANTAS DE USO COMESTIBLES EN EL CASCO URBANO, ASÍ COMO EN LAS VEREDAS PUEBLO VIEJO, LLANITOS Y BUENOS AIRES DEL MUNICIPIO ACEVEDO Y COMO SE ELABORAN LAS RECETAS GASTRONÓMICAS LOCALES A PARTIR DE ELLAS? - Se han realizado 3 visitas de asesoría presencial y 2 virtuales. Hasta el momento se han diligenciado hasta la bitácora 7 - 87,5%
5. PINVAMAC (PEQUEÑOS INVESTIGADORES AMBIENTALES DE ACEVEDO)  - ¿cuál es el estado actual en la que se encuentra la quebrada el cangrejo del municipio de Acevedo, Huila? - Se han realizado 3 visitas de asesoría presencial y 2 virtuales. Hasta el momento se han diligenciado hasta la bitácora 6 - 75%
6. REVERDESER - Qué viabilidad hay en la producción de abono orgánico con la pulpa de café en la institución educativa San Adolfo - Se han realizado 3 visitas de asesoría presencial y 2 virtuales. Hasta el momento se han diligenciado hasta la bitácora 7 - 87,5%
7. SEMILLAS DE INVESTIGACION -  ¿cuál es la onda de luz más benéfica para el crecimiento de semillas de frijol, maíz y arveja? - Se han realizado 3 visitas de asesoría presencial y 2 virtuales. Hasta el momento se han diligenciado hasta la bitácora 7 - 87,5%
8. VIGIAS AMBIENTALES ESCOLARES - "¿Cuales fuentes hídricas de la región han desaparecido y cuales han disminuido su caudal? ¿Cuáles han sido las causas  de la desaparición o disminución de caudales? ¿Qué acciones se pueden sugerir para  preservación?" - Se han realizado 3 visitas de asesoría presencial y 2 virtuales. Hasta el momento se han diligenciado hasta la bitácora 6 - 75%
9. LIBROS LIBRES - "¿Cómo lograr que los estudiantes de la zona rural de nuestro municipio puedan acceder a obras literarias de bajo costo y alta calidad sin violar derechos de autor?" - Se han realizado 3 visitas de asesoría presencial y 2 virtuales. Hasta el momento se han diligenciado hasta la bitácora 7 - 87,5%
10. LUPITOS - Cómo obtener gas natural a partir de los residuos orgánicos producidos en nuestra comunidad educativa? - Se han realizado 3 visitas de asesoría presencial y 2 virtuales. Hasta el momento se han diligenciado hasta la bitácora 7 - 87,5%
11. EN LA PREVENCIÓN DE LA DESERCIÓN ESCOLAR - Cuales son las causas que provocan la deserción escolar y que estrategias se pueden implementar para reducir la problemática teniendo en cuenta la taza presentada en el año 2016 en la Institución educativa Esteban Rojas Tovar del municipio de Tarqui Huila? - Se han realizado 3 visitas de asesoría presencial y 2 virtuales. Hasta el momento se han diligenciado hasta la bitácora 7 - 87,5%
12. CONECTATE CON EL INGLÉS "CONECTA2" - ¿Cuál es la mejor técnica para el aprendizaje de vocabulario básico en inglés para los estudiantes de la zona rural de la I.E San Isidro del municipio de Acevedo dentro y fuera del aula de clase? - Se han realizado 3 visitas de asesoría presencial y 2 virtuales. Hasta el momento se han diligenciado hasta la bitácora 6 - 75%
13. RECICLANDO SUEÑOS - "¿Qué estrategias implementar para que los niños y la comunidad educativa San Isidro adopten Como práctica cotidiana la selección de los residuos sólidos y fomento de una cultura ambiental de la mano de la comunidad y las autoridades ambientales del municipio desarrollando  la  Construcción de cultura ambiental y ciudadanía?" - Se han realizado 3 visitas de asesoría presencial y 2 virtuales. Hasta el momento se han diligenciado hasta la bitácora 7 - 87,5%
14. FUTURITOS AMIGOS DEL MEDIO AMBIENTE - CÓMO PODEMOS REUTILIZAR LOS RESIDUOS SÓLIDOS DE LA INSTITUCIÓN EDUCATIVA SAN JUAN BOSCO PARA MINIMIZAR LA CONTAMINACIÓN AMBIENTAL EN NUESTRA COMUNIDAD ESTUDIANTIL? - Se han realizado 3 visitas de asesoría presencial y 2 virtuales. Hasta el momento se han diligenciado hasta la bitácora 7 - 87,5%
15. CONQUISTADORES DEL ENTORNO - ¿Cómo está el entorno de la fuente termal y azufrada que desemboca en la quebrada del Chuyaco del municipio de Tarqui? ¿Cómo podemos preservar esta fuente? - Se han realizado 3 visitas de asesoría presencial y 2 virtuales. Hasta el momento se han diligenciado hasta la bitácora 7 - 87,5%
16. ELECTRÓN - ¿Cuáles plantas medicinales y para qué sintomatología podrían ser utilizadas en la comunidad educativa de la I.E. San Isidro? - Se han realizado 3 visitas de asesoría presencial y 2 virtuales. Hasta el momento se han diligenciado hasta la bitácora 7 - 87,5%
17. DEFENSORES DEL AGUA - En qué condiciones se encuentra el agua en los nacederos de las veredas Las Juntas, El Vergel, Alto Tablón, La Argentina y Esmeralda? Como cuidarlas? - Se han realizado 3 visitas de asesoría presencial y 2 virtuales. Hasta el momento se han diligenciado hasta la bitácora 7 - 87,5%
18. TEJIENDO PASOS - ¿Como el arte del tejido de la iraca desde el saber tradicional fortalece el patrimonio cultural y la educación propia de la comunidad educativa de la Institución Educativa la Unión del municipio de Suaza? - Se han realizado 3 visitas de asesoría presencial y 2 virtuales. Hasta el momento se han diligenciado hasta la bitácora 7 - 87,5%
19. CAFETERITOS INVESTIGADORES  - Cómo nace, crece y se produce el árbol de café - Se han realizado 3 visitas de asesoría presencial y 2 virtuales. Hasta el momento se han diligenciado hasta la bitácora 6 - 75%
20. AQUANIÑOS - ¿El árbol nacedero aumenta los caudales hídricos de la vereda las Brisas de San Isidro Acevedo Huila? - Se han realizado 3 visitas de asesoría presencial y 2 virtuales. Hasta el momento se han diligenciado hasta la bitácora 6 - 75%
21. ORALIDAD Y ESCRITURA: TEJIENDO IDENTIDAD A PARTIR DE NUESTRO PASADO - ¿Cómo nuestra memoria colectiva y el pasado, expresado en los  mitos y leyendas,  reafirma nuestra identidad huilense  y el amor por nuestra región? - Se han realizado 3 visitas de asesoría presencial y 2 virtuales. Hasta el momento se han diligenciado hasta la bitácora 6 - 75%
22. GREEN ENERGY ¿Cómo aprovechar la energía magnética para aplicarla en la vida cotidiana de los educandos de grado Séptimo de la Institución Educativa Marticas del municipio de Acevedo - Huila? - Se han realizado 3 visitas de asesoría presencial y 2 virtuales. Hasta el momento se han diligenciado hasta la bitácora 7 - 87,5%
23. ROBOTICS - ¿Cómo aplicar la robótica desde  el área de Ciencias Naturales en los niños de grado Cuarto de la Institución Educativa Marticas de Acevedo, Huila? - Se han realizado 3 visitas de asesoría presencial y 2 virtuales. Hasta el momento se han diligenciado hasta la bitácora 7 - 87,5%
24. LOS DRONS - ¿Cómo incentivar el interés por la robótica con recursos caseros en el grado Octavo de la Institución Educativa Marticas del municipio de Acevedo - Huila? - Se han realizado 3 visitas de asesoría presencial y 2 virtuales. Hasta el momento se han diligenciado hasta la bitácora 7 - 87,5%
25. LOS PRIME - ¿Cómo diseñar un sistema de transformación de la energía con recursos reciclables en el grado Quinto de la Institución Educativa Marticas del municipio de Acevedo - Huila? - Se han realizado 3 visitas de asesoría presencial y 2 virtuales. Hasta el momento se han diligenciado hasta la bitácora 7 - 87,5%
26. ECOCREADORES - ¿La fabricación de algunos útiles escolares con material casero y reciclado permitirá aumentar la eficiencia académica de los estudiantes de la I.E. Marticas del municipio de Acevedo? - Se han realizado 3 visitas de asesoría presencial y 2 virtuales. Hasta el momento se han diligenciado hasta la bitácora 7 - 87,5%
27. PEQUEGENIOS - Cuales son las fortalezas y debilidades de utilizar de algunas plantas medicinales en el control de los vectores (cucarachas) - Se han realizado 3 visitas de asesoría presencial y 2 virtuales. Hasta el momento se han diligenciado hasta la bitácora 6 - 75%
28. ESCRITORES DE LIBERTAD - ¿Cómo fortalecer la comunicación y la sana convivencia mediante la ejecución del periódico escolar virtual, estimulando la lectura y comprensión lectora en los estudiantes de los grados tercero, Cuarto y quinto de la Institución Educativa la Unión del municipio de Suaza Huila? - Se han realizado 3 visitas de asesoría presencial y 2 virtuales. Hasta el momento se han diligenciado hasta la bitácora 7 - 87,5%
29. ALIMENTANDO CON AMOR ATRAVES DE NUESTRA HISTORIA - Cual es la importancia del aprovechamiento y utilización de los productos tradicionales de la región de San José de Riecito en el municipio de Acevedo Huila? - Se han realizado 3 visitas de asesoría presencial y 2 virtuales. Hasta el momento se han diligenciado hasta la bitácora 7 - 87,5%
30. FAMILECTORES  - ¿Cuál es el nivel educativo y los hábitos lectores de los padres de familia y estudiantes de la sede principal de la institución educativa la Victoria y que estrategias se pueden implementar para mejorar la formación de hábitos de estudio? - Se han realizado 3 visitas de asesoría presencial y 2 virtuales. Hasta el momento se han diligenciado hasta la bitácora 7 - 87,5% 
31. GUARDIANES AMBIENTALES - ¿Cómo podemos mejorar nuestro entorno ambiental a través del trabajo en equipo con los miembros de la comunidad de la Institución Educativa La Victoria? - Se han realizado 3 visitas de asesoría presencial y 2 virtuales. Hasta el momento se han diligenciado hasta la bitácora 7 - 87,5% 
32. ABONOR - Como Fortalecer procesos de certificación en la producción de abonos orgánicos para implementar la agricultura limpia. - Se han realizado 3 visitas de asesoría presencial y 2 virtuales. Hasta el momento se han diligenciado hasta la bitácora 6 - 75%
33. COMIENDO ME NUTRO Y APRENDO - ¿Cómo crear buenos hábitos alimenticios en los 23 Estudiantes  de la sede Paraíso de la I.E. La Bernarda del municipio de Guadalupe - Huila? - Se han realizado 3 visitas de asesoría presencial y 2 virtuales. Hasta el momento se han diligenciado hasta la bitácora 6 - 75% 
34. EN LA ONDA DEL RECICLAJE - ¿Históricamente cuáles han sido las prácticas más usuales en la disposición final de los residuos orgánicos e inorgánicos? ¿Cuáles considera como buenas prácticas en esta materia que puedan ser tenidas en cuenta en la cultura ciudadana ambiental? - Se han realizado 3 visitas de asesoría presencial y 2 virtuales. Hasta el momento se han diligenciado hasta la bitácora 6 – 75%
35. LOS AGENTES DEL AMBIENTE - ¿Cómo podemos disminuir la contaminación del medio ambiental a través de la utilización de los desechos que se producen a la hora del procesamiento del café en la I. E. Bateas Sede El Encanto? - Se han realizado 3 visitas de asesoría presencial y 2 virtuales. Hasta el momento se han diligenciado hasta la bitácora 7 - 87,5%
36. LOS AMIGOS DE LA TIERRA - ¿Cómo disponer y aprovechar de forma adecuada los residuos sólidos orgánicos e inorgánicos generados en la sede Aguas Claras de la IE San Adolfo del municipio de Acevedo? - Se han realizado 3 visitas de asesoría presencial y 2 virtuales. Hasta el momento se han diligenciado hasta la bitácora 6 – 75%
37. LOS ECOLOGISTAS DEL FUTURO. - ¿Por qué a los niños y niñas de la Sede Sartenejal, les cuesta trabajo reciclar? - Se han realizado 3 visitas de asesoría presencial y 2 virtuales. Hasta el momento se han diligenciado hasta la bitácora 7 - 87,5%
38. SEMILLAS DE AMOR - ¿Cuál es la incidencia que tiene la huerta escolar en la construcción de aprendizajes significativos, desde la interdisciplinariedad en los niños y niñas de la Institución Educativa José Acevedo y Gómez – Sede El Mirador? - Se han realizado 3 visitas de asesoría presencial y 2 virtuales. Hasta el momento se han diligenciado hasta la bitácora 6 – 75%
39. EUREKA - ¿Por qué los habitantes de la vereda El Carmen no protegen la quebrada Toguache, siendo ésta su única fuente hídrica? ¿Qué acciones podemos realizar para recuperarla? - Se han realizado 3 visitas de asesoría presencial y 2 virtuales. Hasta el momento se han diligenciado hasta la bitácora 7 - 87,5%</t>
  </si>
  <si>
    <t>1 - DESARROLLO DEL CURSO DE DERECHOS FUNDAMENTALES Y GLOBALIZACIÓN EN LA ESCUELA COMPLUTENSE DE VERANO DE LA UNIVERSIDAD COMPLUTENSE DE MADRID-ESPAÑA: AVANCE 123</t>
  </si>
  <si>
    <r>
      <t xml:space="preserve">Se apoyó a docentes para realizar ponencias en eventos nacionales e internacionales.
1 - Evento:  Conferencia  de la ASOCIACIÓN COLOMBIANA DE FACULTADES DE ADMINISTRACIÓN (ASCOLFA) que se realizará en Neiva – Colombia - Ponencia: “MEDICIÓN DEL IMPACTO DEL TRATADO DE LIBRE COMERCIO CON ESTADOS UNIDOS: EL CASO DEL DEPARTAMENTO DEL HUILA 2009-2015”: ORDEN ADMINISTRATIVA No. 046, ORDEN ADMINISTRATIVA No. 047
2 - Evento:  Conferencia  de la ASOCIACIÓN COLOMBIANA DE FACULTADES DE ADMINISTRACIÓN (ASCOLFA) que se realizará en Neiva – Colombia - Ponencia: ALTERNATIVAS QUE AYUDEN A SUSTITUIR EL USO DE EMPAQUES NO BIODEGRADABLES DURANTE LAS LABORES DE TRANSPLANTE DEL CAFÉ EN EL MUNICIPIO DE RIVERA”: ORDEN ADMINISTRATIVA No. 042
3 - Evento:  Conferencia  de la ASOCIACIÓN COLOMBIANA DE FACULTADES DE ADMINISTRACIÓN (ASCOLFA) que se realizará en Neiva – Colombia - Ponencia: “POLÍTICA PUBLICA DE COMPETITIVIDAD EN EL DEPARTAMENTO DEL HUILA”: ORDEN ADMINISTRATIVA No. 045
4 - Evento:  Conferencia  de la ASOCIACIÓN COLOMBIANA DE FACULTADES DE ADMINISTRACIÓN (ASCOLFA) que se realizará en Neiva – Colombia - Ponencia: “HABILIDADES GERENCIALES APLICADAS EN LOS ESTABLECIMIENTOS DE PRODUCCIÓN Y/O VENTA DE COMIDAS RAPIDAS EN EL MUNICIPIO DE NEIVA”: ORDEN ADMINISTRATIVA No. 044
5 - Evento: Conferencia  de la ASOCIACIÓN COLOMBIANA DE FACULTADES DE ADMINISTRACIÓN (ASCOLFA) que se realizará en Neiva – Colombia - Ponencia: “PETROLEO: POBREZA O RIQUEZA EN EL DEPARTAMENTO DEL HUILA (1990-2010)”: ORDEN ADMINISTRATIVA No. 048
6 - Evento: V Congreso Internacional de la Asociación para la Formación, Investigación y Desarrollo del Emprendimiento AFIDE 2017 QUE SE LLEVARA A CABO EN LA CIUDAD DE PANAMA, EN LA UNIVERSIDAD CATOLICA SANTA MARIA LA ANTIGUA - Ponencia: "EMPRENDIMIENTOS CULTURALES EN COLOMBIA-CASO DEPARTAMENTO DEL HUILA": ORDEN ADMINISTRATIVA No. 052
7 - Evento: XIV FORO INTERNACIONAL SOBRE EVALUACIÓN DE LA CALIDAD DE LA INVESTIGACIÓN Y DE LA EDUCACION SUPERIOR (FACIES) A REALIZARSE EN GRANADA ESPAÑA - Ponencia: "POLITICA INTERNACIONAL DE GOBIERNO ABIERTO, DESARROLLO Y SU AVANCE EN GOBIERNOS LOCALES DEL DEPARTAMENTO DEL HUILA-COLOMBIA": AVANCE 119
8 - Evento: XIV FORO INTERNACIONAL SOBRE EVALUACIÓN DE LA CALIDAD DE LA INVESTIGACIÓN Y DE LA EDUCACION SUPERIOR (FACIES) A REALIZARSE EN GRANADA ESPAÑA - Ponencia: "PROSPECTIVA DE LAS RELACIONES DE LA UNIVERSIDAD SURCOLOMBIANA CON EL ASIA PACIFICO" Y "APROXIMACIÓN ACADEMICA Y VALORATIVA A LA HISTORIA AMBIENTAL DE NEIVA": AVANCE 120
</t>
    </r>
    <r>
      <rPr>
        <sz val="11"/>
        <color rgb="FFFF0000"/>
        <rFont val="Calibri"/>
        <family val="2"/>
        <scheme val="minor"/>
      </rPr>
      <t>9 - Evento: ASCOLFA 2017 - INNOVACIÓN Y TRANSFORMACIÓN...: AVANCE DE LA SOLICITUD 04 No. 17000686 EXCD. FEA.
10 - PONENCIA - PROSPECTIVAS.... AVANCE DE LA SOLICITUD 04 No. 17001107 EXCD. FEA.
11 - PONENCIA - POLÍTICA INTERN.... AVANCE DE LA SOLICITUD 04 No. 17001109 EXCD. FEA.</t>
    </r>
  </si>
  <si>
    <r>
      <t xml:space="preserve">Se apoyó a docentes para realizar ponencias en eventos nacionales e internacionales.
1 - Evento:  XVI CONGRESO COLOMBIANO DE GEOLOGIA que se realizará en SANTA MARTA – Colombia - Ponencia: "CARACTERIZACIÓN GEOLOGICA Y DE FLUIDOS DE LOS INDICIOS SUPERFICIALES DE HIDROCARBUROS EN EL DEPARTAMENTO DEL HUILA": AVANCE 161
2 - Evento: III SIMPOSIO INTERNACIONAL EDUCACIÓN RIDECTEI, EDUCACIÓN, CIENCIA, TECNOLOGIA E INNOVACIÓN que se realizará en la Universidad de Guadalajara - Ponencia: "CARACTERIZACIÓN DEL MODELO EDUCATIVO DE PREESCOLAR Y BASICA PRIMARIA RURAL DEL MUNICIPIO DE NEIVA": AVANCE 193, AVANCE 195
3 - Evento: WORKSHOP que se realizará en La Paz - Bolivia - Ponencia: IMPROVING RURAL LIVELIHOODS THROUGH PROMOTING HIGH-QUALITY COFFEE AND COFFEE CHERRY PRODUCTS IN THE ORIGIN COUNTRIES COLOMBIA AND BOLIVIA: AVANCE 210
4 - Evento: XV CONGRESO DE LA SOCIEDAD LATINOAMERICANA DE NEUROPSICOLOGIA que se realizará en Natal - Brasil - Ponencia: "EVALUACIÓN E INTERVENCIÓN NEUROCOGNITIVA EN NIÑOS CON DIFICULTADES COMPORTAMENTALES": AVANCE 222
</t>
    </r>
    <r>
      <rPr>
        <sz val="11"/>
        <color rgb="FFFF0000"/>
        <rFont val="Calibri"/>
        <family val="2"/>
        <scheme val="minor"/>
      </rPr>
      <t>5 - PONENCIA - "CONOCIMIENTO, ACTITUDES Y PRAC…. AVANCE DE LA SOLICITUD 04 No. 17001161 EXCD. FEA.</t>
    </r>
  </si>
  <si>
    <t>Consolidación de grupos de Investigación:
1 - FACULTAD DE CIENCIAS JURIDICA Y POLITICAS - NUEVAS VISIONES DEL DERECHO: AVANCE 014</t>
  </si>
  <si>
    <t>Consolidación de grupos de Investigación:
1 - FACULTAD DE ECONOMÍA - CRE@: AVANCE 014: CONTRATO VIPS 242-B2017 
2 - FACULTAD DE INGENIERÍA - ECOSISTEMAS SURCOLOMBIANOS: CONTRATO VIPS 289-B2017
3 - FACULTAD DE SALUD - CARLOS FINLAY: CONTRATO VIPS 284-B2017
4 - FACULTAD DE ECONOMÍA - IGUAQUE: ORDEN ADMINISTRATIVA No. 073</t>
  </si>
  <si>
    <t>CAPACITACIÓN</t>
  </si>
  <si>
    <t>1 - PRESENTAR PONENCIA GRUPO CONCIENCIA JURÍDICA
2 - PARTICIPACIÓN EVENTO VII ENCUENTRO
3 - INSCRIPCIÓN DE ESTUDIANTE AL PROGRAMA DE DERECHO DE LA SEDE PITALITO AL…</t>
  </si>
  <si>
    <t>Se apoyo al desarrollo de 3 Doctorados:
1 - Agroindustria y Desarrollo Agricola Sostenible, CONTRATO CPS-136, AVANCE 018, CONTRATO VIPS 087-A2017, CONTRATO VIPS 096-A2017, RESOLUCIÓN 021, AVANCE 071, RESOLUCIÓN No. 033, RESOLUCIÓN No. 032, RESOLUCIÓN No. 035, RESOLUCIÓN No. 036, RESOLUCIÓN No. 034, CONTRATO VIPS 125-A2017, AVANCE 080
2 - Educación y Cultura Ambiental - CONTRATO VIPS 025-A2017, AVANCE 008, RESOLUCIÓN 008, RESOLUCIÓN 007, RESOLUCIÓN 012, RESOLUCIÓN 013, AVANCE 042, CONTRATO VIPS 092-A2017, RESOLUCION No. 042, AVANCE 095, CONTRATO VIPS 170-A2017
3 - Ciencias de la Salud - RESOLUCION NO. 001 ACTIVIDAD ACADEMICA REMUNERADA, AVANCE 009, RESOLUCION NO. 003 ACTIVIDAD ACADEMICA REMUNERADA, RESOLUCION NO. 005 ACTIVIDAD ACADEMICA REMUNERADA, RESOLUCION NO. 006 - ACTIVIDAD ACADEMICA REMUNERADA, RESOLUCION NO. 009 ACTIVIDAD ACADEMICA REMUNERADA, RESOLUCION NO. 010 ACTIVIDAD ACADEMICA REMUNERADA, RESOLUCIÓN No. 011, RESOLUCION No. 015, RESOLUCION No. 016, RESOLUCION No. 017, RESOLUCIÓN No. 022, RESOLUCIÓN No. 023, RESOLUCIÓN No. 024, RESOLUCIÓN No. 025, RESOLUCIÓN No. 026, RESOLUCIÓN No. 043, RESOLUCIÓN No. 044, RESOLUCIÓN No. 046, RESOLUCIÓN No. 053, AVANCE 100, RESOLUCIÓN No. 056</t>
  </si>
  <si>
    <t>Ya se cumplió la meta y se continúa apoyando al desarrollo de los 3 Doctorados: 
1 - Agroindustria y Desarrollo Agricola Sostenible, 
2 - Educación y Cultura Ambiental
3 - Ciencias de la Salud</t>
  </si>
  <si>
    <t>Se apoyó a la Financiación de 01 proyecto de investigación en modalidad trabajos de grado:
1 -  CAPACIDAD DE AUTOCUIDADO DE LAS PERSONAS CON INSUFICIENCIA RENAL CRÓNICA EN TERAPIA DE REMPLAZO RENAL, FLORENCIA 2017, AVANCE No. 049, CONTRATO VIPS 129-A2017, AVANCE 079</t>
  </si>
  <si>
    <t>Se apoyó a la Financiación de 05 proyecto de investigación en modalidad trabajos de grado:
1 - ESTUDIO DE VIABILIDAD DE APERTURA DEL PROGRAMA DE MATEMATICA APLICADA DE LA UNIVERSIDAD SURCOLOMBIANA EN LA SEDE PITALITO: AVANCE 069, AVANCE 099
2 - IMAGINARIOS SOBRE LOS ACUERDO DE PAZ DE VÍCTIMAS DEL CONFLICTO ARMADO EN ZONAS RURALES Y URBANAS DE NEIVA 2016.: AVANCE 065, AVANCE 089
3 - GEOPOLÍTICA DE LAS EMOCIONES EN TRAMAS NARRATIVAS DE PAZ DE MAESTR@S DE LA INSTITUCION EDUCATIVA SALEN EN ISNOS HUILA : AVANCE 072
4 - RELACION ENTRE ACOSO ESCOLAR Y EL DESARROLLO DE FUNCIONES EJECUTIVAS EN NIÑOS DE BÁSICA PRIMARIA SEDES DE LA INSTITUCIÓN: AVANCE 067, AVANCE 090
5 - RELACIONES ENTRE ESCENARIOS Y PACTICAS DE PARTICIPACIÓN JUVENIL EN LA EDUCACION Y POLITICAS PUBLICAS JUVENILES EN PITALITO</t>
  </si>
  <si>
    <t>Se apoyó a la Financiación de 10 proyecto de investigación en modalidad trabajos de grado:
1 - DISEÑO E IMPLEMENTACION DE UN SISTEMA DE CONTROL DE NIVEL Y FLUJO DE TANQUES ACOPLADOS USANDO CONTROL MULTIVARIABLE POR METODOS CLASICOS: CONTRATO VIPS 278-B2017
2 - FACTORES QUE AFECTAN LA ADHERENCIA A LA REHABILITACIÓN CARDIOPULMONAR DE LOS PACIENTES ATENDIDOS EN LA UNIDAD CARDIOVASCULAR DEL HUHMP DURANTE EN EL SEGUNDO SEMESTRE DEL AÑO 2016.: AVANCE 160, ORDEN ADMINISTRATIVA No. 088
3 - INTERLEUQUINA (IL)-6: UTILIDAD EN LA APROXIMACIÓN DIAGNOSTICA DE SEPSIS NEONATAL: AVANCE 140
4 - NIVELES DE IL-17 EN LAVADO BRONCO ALVEOLAR DE PACIENTES CON SINTOMATOLOGÍA PULMONAR CRÓNICA Y SU ASOCIACIÓN CON: AVANCE 140
5 - TIEMPO LIBRE: UNA FUENTE DE VIDA EN LA EDUCACIÓN: RESOLUCIÓN No.061, ORDEN ADMINISTRATIVA No. 082, CONTRATO VIPS 291-B2017
6 - “GEOPOLÍTICA DE LAS EMOCIONES EN TRAMAS NARRATIVAS DE PAZ DE MAESTR@S DE LA INSTITUCION  EDUCATIVA SW BRUSELAS HUILA: AVANCE 190
7 - CÁLCULO DE LA REACTIVIDAD DETERMINÍSTICA EN REACTORES NUCLEARES : AVANCE 191
8 - CARACTERIZACIÓN DE VIOLENCIA HACIA LAS MUJERES EN LA RELACIÓN DE PAREJA EN LOS MUNICIPIOS DE ALGECIRAS Y LA PLATA: AVANCE 190
9 - ESTUDIO DE PROPIEDADES ELECTRÓNICAS DE LA CALCOPIRITA CU?IN?_(1-X) ?AL?_X ?TE?_2: AVANCE 188
10 - INFLUENCIA DE LOS MEDIOS MASIVOS DE INFORMACIÓN EN LA CONFIGURACIÓN DE IMAGINARIOS DE PAZ EN LA REGIÓN SURCOLOMBIANA: AVANCE 180</t>
  </si>
  <si>
    <t>Se apoyó con el financiación de 9 proyectos ejecutados por semilleros de investigación:
1 - SISTEMATIZACIÓN CAMPAÑA "PARA LA GUERRA NADA, PARA LA PAZ TODO": AVANCE 136
2 - FACTORES QUE INFLUYEN EN LA HOSPITALIZACIÓN Y EN LA ADHERENCIA AL TRATAMIENTO FARMACOLÓGICO Y NO FARMACOLÓGICO EN LOS PACIENTES CON HIPERTENSIÓN Y DIABETES MELLITUS.: AVANCE 160, AVANCE 218
3 - ASENTAMIENTOS INFORMALES Y DERECHO A LA CIUDAD. EL CASO DEL ASENTAMIENTO BRISAS DEL VENADO DE LA CIUDAD DE NEIVA.: AVANCE 185C
4 - ESTABLECIMIENTO DE LOS FACTORES QUE INCIDEN EN LA COMPETITIVIDAD DEL CULTIVO DE CAFÉ EN LAS FINCAS DE LA VEREDA ALTO ORIENTE DEL MUNICIPIO DE TELLO – HUILA.: AVANCE 154
5 - CALCULO DE LA REACTIVIDAD USANDO LA LEY DE BOOLE EN REACTORES NUCLEARES: AVANCE 142, AVANCE 191
6 - OPINIONES DE LOS ESTUDIANTES DE ENFERMERÍA SOBRE LA SENTENCIA C-355 DE 2006: AVANCE 148
7 - UNA MIRADA A LOS CONCEPTOS DE TIEMPO LIBRE, OCIO Y RECREACIÓN DE LOS ESTUDIANTES, DOCENTES Y ADMINISTRATIVOS DE LA FACULTAD: RESOLUCIÓN No.061, CONTRATO VIPS 287-B2017,  ORDEN ADMINISTRATIVA No. 082, CONTRATO VIPS 291-B2017
8 -  HABILIDADES GERENCIALES APLICADAS EN LOS ESTABLECIMIENTOS DE PRODUCCION Y/O VENTA DE COMIDAS RÁPIDAS EN EL MUNICIPIO DE NEIVA : AVANCE 155
9 - ACTUALIZACIÓN DE LOS CURRÍCULOS DE LOS PROGRAMAS DE CONTADURÍA PÚBLICA OFERTADOS EN NEIVA FRENTE A LA ENSEÑANZA DE LO INTERNACIONAL Y LA GLOBALIZACIÓN CONTABLE: AVANCE 173</t>
  </si>
  <si>
    <t>Se apoyó con la Financiación la vinculación de 12 jóvenes investigadores:
1 - CRISTIAN  FABIAN VILLANUEVA, CONTRATO VIPS 007-A2017
2- MARIA ALEJANDRA BERMEO LOSADA, CONTRATO VIPS 008-A2017
3 - LEIDY MARCELA CASTAÑO BAQUERO, CONTRATO VIPS 018-A2017
4 - LUISA FERNANDA MUÑOZ, CONTRATO VIPS 021-A2017
5 - DIANA MARCELA CELIS, CONTRATO VIPS 022-A2017
6 - ERIKA TATIANA CORTES MACIAS, CONTRATO VIPS 032-A2017
7 - MAYRA PATRICIA RODRÍGUEZ ESPINOSA, CONTRATO VIPS 071-A2017
8 - KARLA ALEXANDRA LOSADA BENAVIDES, CONTRATO VIPS 070-A2017
9 - JONATHAN ANDRÉS MOSQUERA, CONTRATO VIPS 035-A2017
10 - KAREN LORENA REYES VÉLEZ, VIPS 072-A2017
11 - ANGIELA CRISTINA ROMERO VARÓN, CONTRATO VIPS 066-A2017
12 - JUANITA PAOLA GUTIÉRREZ CUENCA, CONTRATO VIPS 068-A2017</t>
  </si>
  <si>
    <t>YA SE CUMPLIÓ LA META, SE VINCULARON 14 JÓVENES INVESTIGADORES</t>
  </si>
  <si>
    <t>Se apoyó a la capacitación y desarrollo de 3 talleres para la formulación de la investigación:
1 - Taller: La Carpintería de la Escritura para la Investigación Nivel I (GRUPO 1): RESOLUCIÓN 029, RESOLUCIÓN 030
2 - Taller: La Carpintería de la Escritura para la Investigación Nivel II (GRUPO 1): AVANCE No. 053, GIOVANNI USGAME ZUBIETA - RESOLUCION No. 019
3 - Taller básico de ortografía para la enseñanza (GRUPO 1): RESOLUCIÓN 028</t>
  </si>
  <si>
    <t>Se apoyó a la capacitación y desarrollo de 6 talleres para la formulación de la investigación:
1 - Taller: La Carpintería de la Escritura para la Investigación Nivel I (GRUPO 2)
2 - Taller: La Carpintería de la Escritura para la Investigación Nivel II (GRUPO 2)
3 - Taller: La Carpintería de la Escritura para la Investigación Nivel III
4 - Taller básico de ortografía para la enseñanza (GRUPO 2)
5 - Taller permanente: búsqueda de la literatura científica y manejo de gestores bibliográficos 
6 - Taller: Formulación de Proyectos bajo la Metodología de Marco Lógico para diligenciar proyectos en -MGA</t>
  </si>
  <si>
    <t>Para el segundo trimestre se apoyó para le ejecución de 6 proyectos relacionados así (MEDIANTE ACTA No. 2 DE ENERO 26 DE 2017) - SI-PY1.5 Y SI-PY4.1 SON ACCIONES QUE VAN UNIDAS:
1 - RECONFIGURACIÓN DEL TERRITORIO. DISCURSOS SOBRE TERRITORIO, DEMOCRACIA, DESARROLLO Y POLÍTICA EN EL DEPARTAMENTO DEL HUILA:  VIPS 100-A2017, VIPS 099-A2017, RESOLUCION No. 037, AVANCE 217
2 - EL PAPEL DE LA IGLESIA EN LOS PROCESOS DE PAZ Y RECONCILIACIÓN EN AMÉRICA LATINA – UNA MIRADA HISTÓRICA: AVANCE 073, AVANCE 109, AVANCE 223
3 - EL TRABAJO COLABORATIVO: UNA HERRAMIENTA PARA LA TRANSFORMACIÓN DE LAS PRÁCTICAS PEDAGÓGICAS: CONTRATO VIPS 098-A2017, AVANCE 243
4 - ANÁLISIS DEL PROCESO EVALUATIVO DEL APRENDIZAJE DEL INGLÉS EN UN PROGRAMA DE LICENCIATURA EN LENGUA EXTRANJERA DE UNA UNIVERSIDAD PÚBLICA EN COLOMBIA: CONTRATO VIPS  175-A2017, CONTRATO VIPS 287-B2017, AVANCE 246, AVANCE 247
5 - EFECTOS DE DOS MÉTODOS DE RETROALIMENTACIÓN CORRECTIVA EN LA ESCRITURA EN INGLÉS COMO LENGUA EXTRANJERA (ILE): EL DESARROLLO DE LA PRECISIÓN GRAMATICAL Y LEXICAL.: CONTRATO VIPS 210-A2017
6 - ESTUDIO DE LA RADIACIÓN ELECTROMAGNÉTICA INCIDENTE SOBRE SISTEMAS PERIÓDICOS DE GEOMETRÍA PLANAS Y ESFÉRICA, CON MATERIALES DE DIFERENTES PROPIEDADES ELECTROMAGNÉTICAS: VIPS 127-A2017</t>
  </si>
  <si>
    <t>Ya se cumplió la meta, En el segundo trimestre se continúa apoyando en la consolidación de 35 grupos de investigación (MEDIANTE ACTA No. 2 DE ENERO 26 DE 2017)</t>
  </si>
  <si>
    <t>Ya se cumplió la meta, En el tercer trimestre se continúa apoyando en la consolidación de 35 grupos de investigación (MEDIANTE ACTA No. 2 DE ENERO 26 DE 2017)</t>
  </si>
  <si>
    <t>Se apoyo con la ejecución de 06 convenios cofianciados:
1 - Convenio entre Universidad RHODE ISLAND y la USCO: CONTRATO VIPS 026-A2017, CONTRATO VIPS 077-A2017, AVANCE No. 033
2 - Convenio 707 EMGESA y la USCO: CONTRATO VIPS 011-A2017, CONTRATO VIPS 012-A2017, CONTRATO VIPS 013-A2017, CONTRATO VIPS 014-A2017, CONTRATO VIPS 015-A2017, AVANCE No. 004 
3 - Convenio 571 entre la FIDUPREVISORA y la USCO: CONTRATO VIPS 007-A2017, CONTRATO VIPS 008-A2017, CONTRATO VIPS 018-A2017, CONTRATO VIPS 021-A2017, CONTRATO VIPS 022-A2017
4 - Convenio de Cooperación ONDAS No. 245-2014 entre el Departamento del Huila y la USCO: CONTRATO VIPS 019-A2017, CONTRATO VIPS 020-A2017, CONTRATO VIPS 039-A2017, CONTRATO VIPS 040-A2017, CONTRATO VIPS 041-A2017, CONTRATO VIPS 042-A2017, CONTRATO VIPS 043-A2017, CONTRATO VIPS 044-A2017, CONTRATO VIPS 045-A2017, CONTRATO VIPS 046-A2017, CONTRATO VIPS 047-A2017, CONTRATO VIPS 048-A2017, CONTRATO VIPS 053-A2017, CONTRATO VIPS 056-A2017, CONTRATO VIPS 079-A2017, CONTRATO VIPS 080-A2017, AVANCE No. 019, AVANCE No. 039, AVANCE No. 040, AVANCE No. 047, AVANCE No. 054, AVANCE No. 052
5 - CONVENIO ENTRE LA UNIVERSIDAD DE MANCHESTER -UNIVERSIDAD DE LOS ANDES Y UNIVERSIDAD SURCOLOMBIANA: CONTRATO VIPS 050-A2017, CONTRATO VIPS 054-A2017, CONTRATO VIPS 060-A2017, CONTRATO VIPS 067-A2017, CONTRATO VIPS 074-A2017, CONTRATO VIPS 075-A2017, CONTRATO VIPS 076-A2017, CONTRATO VIPS 079-A2017, AVANCE No. 032, AVANCE No. 029
6 - Convenios confinanciados 085-2015 entre el Departamento del Huila y la USCO: CONTRATO VIPS 001-A2017, CONTRATO VIPS 002-A2017, CONTRATO VIPS 003-A2017, CONTRATO VIPS 004-A2017, CONTRATO VIPS 005-A2017, CONTRATO VIPS 027-A2017, CONTRATO VIPS 036-A2017, CONTRATO VIPS 050-A2017, CONTRATO VIPS 057-A2017, CONTRATO VIPS 062-A2017, CONTRATO VIPS 063-A2017, CONTRATO VIPS 064-A2017, CONTRATO VIPS 065-A2017, CONTRATO VIPS 089-A2017, CONTRATO VIPS 086-A2017, OTROSI CONTRATO VIPS 062-A2017.</t>
  </si>
  <si>
    <t>NO SE REALIZARON CONVENIOS EN EL TERCER TRIMESTRE, SE CONTINÚAN APOYANDO LOS 7 CONVENIOS EXISTENTES</t>
  </si>
  <si>
    <t>SE HA ESTRUCTURADO Y AVANZADO APROXIMADAMENTE UN 25% EL BANCO DE PROYECTOS: CONTRATO VIPS 006-A2017</t>
  </si>
  <si>
    <t xml:space="preserve"> - BANCO DE PROYECTOS GPE: 17 PROYECTOS (100%) CON POSIBILIDADES DE HACER 2 PROYECTOS MÁS 
 - BANCO DE PROYECTOS INVESTIGACIÓN: 165 PROYECTOS, SE ESTÁN EJECUTANDO 88. (100%)
 - BANCO DE PROYECTOS PROYECCIÓN SOCIAL: 61 PROYECTOS, SE ESTÁN EJECUTANDO 44. (100%) </t>
  </si>
  <si>
    <t>NO SE HA EJECUTADO EN ESTE TRIMESTRE - NO TIENE RECURSOS ASIGNADOS</t>
  </si>
  <si>
    <t>SISTEMA INTEGRADO DE INFORMACION</t>
  </si>
  <si>
    <t>Actualización de sistemas de información. Desarrollo plicativos SIVIPS, CAP y Repositorio de producción intelectual</t>
  </si>
  <si>
    <t>META YA SE CUMPLIÓ, Se continúa con la actualización de sistemas de información. Desarrollo plicativos SIVIPS, CAP y Repositorio de producción intelectual</t>
  </si>
  <si>
    <t>ACTUALIZACIÓN DEL SISTEMA KOHA EN BIBLIOTECA USCO</t>
  </si>
  <si>
    <t>PENDIENTE 4TO TRIMESTRE POR CONTRATAR</t>
  </si>
  <si>
    <t>Apoyo a la creación y fortalecimiento de centros de investigación y vigilancia tecnológica e innovación: 
1 - Facultad Economía y Admón. (CESPOSUR): CONTRATO VIPS 049-A2017
2 - Facultad Ingeniería (CESURCAFE): AVANCE No. 031, CONTRATO VIPS 090-A2017, ORDEN ADMINISTRATIVA No. 007, AVANCE No. 044
3 - Facultad Educación (CIECE): ORDEN ADMINISTRATIVA No. 021
4 - Facultad de Ciencias Sociales (CIS): CONTRATO VIPS 059-A2017</t>
  </si>
  <si>
    <t>YA SE CUMPLIÓ LA META, SE CONTINÚAN APOYANDO LOS 5 CENTROS DE INVESTIGACIÓN (QUEDA PENDIENTE POR EJECUCIÓN CINFADE Y FACECIEN)</t>
  </si>
  <si>
    <t>PROYECTOS BANCO DE PROYECTOS</t>
  </si>
  <si>
    <t>Se apoyó en la gestión y el avance de los proyectos que se realizan con el Banco de Proyectos, elaborados hasta el momento, aproximadamente en un 50% de los proyectos:
1 - Implementación de la oferta de educación virtual  en la Universidad Surcolombiana para aumentar la tasa de cobertura bruta en educación superior en todo el Departamento del Huila (LCMS FASE II)
2 - Innovación de productos agrobiológicos para desarrollar suelos sanos disminución del impacto de plagas y enfermedades en los cultivos de ( Cholupa, Mora, Aguacate y Cacao) para el incremento de la productividad y competitividad del sector agrícola en el departamento del Huila.
3 - Diseño e implementación de un sistema de información y comunicación integral e interoperable en salud para el diagnóstico, seguimiento análisis y procesamiento de datos en el marco de E-Salud para el Departamento del Huila.
4 - Investigación y fortalecimiento de las capacidades en Ciencia tecnología en innovación para el control del Dengue en todo el Departamento del Huila.
5 - Proyecto implementación de un sistema Biofloc como alternativa de producción sostenible de la tilapia (Oreochromis SP), en la zona rural de Neiva.
6 - Mejorar los niveles de valor agregado en la cadena productiva y de comercialización de cafés especiales en el Departamento del Huila.
7 - Construcción y puesta en marcha del hogar juvenil campesino del Municipio de Paicol
8 - Estrategia para el desarrollo del sector turístico en el municipio de Paicol
9 - Implementación y puesta en marcha del observatorio de suelos para mejorar la competitividad del Departamento del Huila
10 - Implementación y puesta en marcha del programa piloto de bilingüismo para el desarrollo de la apuesta productiva de turismo en salud en la Universidad Surcolombiana.
11 - Estrategia de reactivación de la comercialización Nacional e Internacional del sector frutícola mediante la creación de la marca única de frutas del departamento del Huila.
12 - Análisis de los factores (Genético, Nutricional, Transporte, sacrificio y Maduración) que influyen en los diferentes procesos para la obtención de carne de excelente calidad a partir de razas criollas Colombianas ( Sanmartinero, Artón del Valle, Romosinuano y el Caqueteño) pertenecientes a la región del Huila y del Caquetá.
13 - Diagnóstico para establecer el potencial de uso energético a partir de fuentes no convencionales de energía renovable en el Departamento del Huila.
14 - Investigación aplicada y transferencia tecnológica en el área de biotecnología de las pasifloras en el Departamento del Huila para generación de valor agregado, funcional y comercial.
15 - Proyecto construcción nuevo campus de la Universidad Surcolombiana para potenciar el desarrollo regional con educación superior de calidad en todo el Departamento del Huila, centro oriente.
16 - Sistema de educación con equidad y responsabilidad SEER de la Universidad Surcolombiana " Proyecto para cierre de brechas en equidad e inclusión social a través de la educación superior.
17 - Proyecto implementación de punto Vive Digital Lab Neiva.
18 - Proyecto LCMS  Fase I (Learning Content Manager Sistem). Implementación de la plataforma LCMS en la Universidad Surcolombiana, para aumentar la tasa de cobertura bruta de educación superior en todo el Departamento del Huila.
19 - Centro de desarrollo Minero energético del Departamento del Huila ( CEDE MINERHUILA).
20 - Construcción nuevo campus de la Universidad Surcolombiana para potenciar el Desarrollo regional con educación superior de Calidad en Todo el Departamento del Huila.</t>
  </si>
  <si>
    <t xml:space="preserve">PROYECOS BANCO DE PROYECTOS: 
 - BANCO DE PROYECTOS GPE: 17 PROYECTOS (100%) CON POSIBILIDADES DE HACER 2 PROYECTOS MÁS 
 - BANCO DE PROYECTOS INVESTIGACIÓN: 165 PROYECTOS, SE ESTÁN EJECUTANDO 88. (100%)
 - BANCO DE PROYECTOS PROYECCIÓN SOCIAL: 61 PROYECTOS, SE ESTÁN EJECUTANDO 44. (100%) </t>
  </si>
  <si>
    <t>REVISTAS INSTITUCIONALES</t>
  </si>
  <si>
    <t>PENDIENTE PARA EJECUTAR EL RESTANTE EN EL 4TO TRIMESTRE</t>
  </si>
  <si>
    <t>NO EJECUTADO ESTE TRIMESTRE</t>
  </si>
  <si>
    <t>LIBROS</t>
  </si>
  <si>
    <t>Evaluación, corrección estilo, diagramación  y publicación de libros en las diferentes modalidades.
1 - Evaluación Libro de Investigación: “Propuesta para la mejora de las facilidades de producción de un campo petrolero”: RESOLUCIÓN 002
2 - Diseño, diagramación e impresión de 6 libros producidos por la Editorial Universidad Surcolombiana con base en la Convocatoria para publicación de libros 2016-2017: CONTRATO VIPS 088-A2017
3 - Evaluación Libro de Investigación “El Arte de Escribir”: RESOLUCIÓN 018
4 - Evaluación Libro de Investigación “Manual de Practicas de Laboratorio de Microbiología”: RESOLUCIÓN 018
5 - Evaluación Libro de Investigación: “Reflexiones sobre la Teoría y la Historia del concepto de Ciudadanía”: RESOLUCIÓN 018</t>
  </si>
  <si>
    <t>Evaluación, corrección estilo, diagramación  y publicación de libros en las diferentes modalidades:   
1 - Corrección de estilo del libro: EL PAISAJE URBANO DE NEIVA ENTRE LA MODERNIDAD Y LA MODERNIZACIÓN (1930-1950): CONTRATO VIPS 283-B2017
2 - Corrección de estilo del libro: VOCES DE UN PASADO VIVO: MEMORIAS DE LOSPROCESOS COMUNITARIOS DEL BARRIO LA LIBERTAD DE NEIVA ENTRE 1960-1984: CONTRATO VIPS 283-B2017
3 - Evaluación Libro de Investigación: “La cour constitutionnelle colombienne: un nouveau legislatur”: RESOLUCIÓN No. 067
4 - Evaluación Libro de Investigación: “Introducción a las series” y “Fundamentos de Geometria”: RESOLUCIÓN No. 067
5 - Evaluación Libro de Investigación: “La cour constitutionnelle colombienne: un nouveau legislatur”.( POR SEGUNDA VEZ): RESOLUCIÓN No. 067</t>
  </si>
  <si>
    <t>Se contrata a GERMAN MAURICIO MONTEALEGRE CALDERÓN para Prestar servicios técnicos de apoyo a la gestión e implementación de estrategias de Mercado Digital de la Universidad Surcolombiana. Así, como el apoyo a los procesos de visibilización de la gestión de la administración central a través del Sistema de Comunicación. 
SE PUBLICA PRIMER TIRAJE REVISTA ERASMUS 110%</t>
  </si>
  <si>
    <t>SE ESTA GESTIONANDO EN PROCESO 
1 - Servicios profesionales de evaluación, selección, edición y distribución de libros publicados por la Editorial Universidad Surcolombiana: CONTRATO VIPS 028-A2017
2 - Servicios de apoyo a la gestión Administrativa en la Editorial Universidad Surcolombiana: CONTRATO VIPS 029-A2017</t>
  </si>
  <si>
    <t>SE GESTIONAN EN LA ACTUALIDAD 6 REVISTAS CON TODA LA INFRAESTRUCTURA EDITORIAL Y SE CREA UNA NUEVA REVISTA: REVISTA ERASMUS SEMILLEROS DE INVESTIGACIÓN  100%
-  Se contrata a MARCO ANTONIO CEBALLOS ALBARRACIN Prestar los servicios profesionales de evaluación, selección, edición y distribución de libros publicados por la Editorial Universidad Surcolombiana
Se apoyó la edición de 6 revistas institucionales</t>
  </si>
  <si>
    <t xml:space="preserve"> - Un aspecto importante es que la revista jurídica Piélagus quedó semestralizado
 - Se está haciendo un proceso de evaluación para la edición de julio - diciembre 2017
 - Se está trabajando fuertemente para entrar con la indexación en las base de datos internacionales: Redalyc y SciELO, para obtener mayor visibilidad
 - Actualmente estamos en la base de datos EBSCOhost
 - Piélagus 2016 no esta indexada porque los tiempos no coincidian con la convocatoria de Colciencias, la revista tiene muy buenos elementos de calidad, todos los ítems cumplen.
 - El último ítem ajustado fue el relacionado con la endogamia, tenemos un nivel muy bajo de endogamia, la mayoría de los artículos de la revista son internacionales
 - La calidad editorial de la revista Piélagus está muy buena y muy posiblemente para la próxima indexación podríamos quedar nuevamente y de forma semestral
 - En esta categorización, indexación, la revista Piélaguses es la que tiene mas alto impacto, el índice de h de la revista es 4, es la que tiene el índice h más alto, esto significa que el índice de citación que tiene Piélagus es superior al de cualquier otra revista de la Universidad Surcolombiana, eso hace que creamos que va a tener un alto impacto y una categoría de indexación en la próxima convocatoria.</t>
  </si>
  <si>
    <t>SA-PY.1 Revisión, reforma y actualización de la plataforma jurídico-normativa institucional</t>
  </si>
  <si>
    <t xml:space="preserve">Revisión y análisis de la normatividad con el propósito de actualizarla de acuerdo a lineamientos legales vigentes que rigen la educación superior </t>
  </si>
  <si>
    <t>Exc. Facultad</t>
  </si>
  <si>
    <t>Normativa Institucional</t>
  </si>
  <si>
    <t>Eventos</t>
  </si>
  <si>
    <t>M2</t>
  </si>
  <si>
    <t>Se realizó adición al Contrato de Obra, talleres y archivo de la Sede Central de la Universidad Surcolombiana. (Reposa en el archivo del proceso en la Unidad de Contratación)</t>
  </si>
  <si>
    <t xml:space="preserve">*REALIZACIÓN DE LA INTERVENTORIA TECNICA, ADMINISTRATIVA Y FINANCIERA AL CONTRATO DE OBRA CONSTRUCCION IV PISO LABORATORIO CIENCIAS BASICAS.                      *LA ADECUACION, REPARACION E INSTALACION DE INFRAESTRUCTURA FISICA PARA SALONES SEDE CENTRAL Y PARQUEADERO AUTOMOTOR.                                                                              *ADICIÓN A CONTRATO DE OBRA UC-004 DE 2017 PARA ADECUACION, REPARACION E INSTALACION DE INFRAESTRUCTURA FISICA.                                                                                  *ADICION A CONTRATO DE OBRA UC-059 DE 2016 PARA COMPRA E INSTALACION DE PLANTA ELECTRICA CON DESTINO A LA GRANJA.       (Todo lo anterior reposa en el archivo de los procesos en la Unidad de Contratación)                                                                                                                                 *SE REALIZARON ADECUACIONES LOCATIVAS EN EL EDIFICIO DE LA FACULTAD DE ECONOMIA Y ADMINISTRACION. </t>
  </si>
  <si>
    <t xml:space="preserve">*SE REALIZARON: ADECUACION, MANTENIMIENTO Y MEJORAS DE INFRAESTRUSTURA DE TODAS LAS SEDES                                                                                                        *ADECUACION DE AULAS Y SALA DE AUDIENCIAS DE PROGRAMA DE DERECHO DE LA FACULTAD DE CIENCIAS JURIDICAS USCO.                                                                                             *CONSTRUCCION Y CUBIERTA DE TANQUE PROFUNDO, CERRAMIENTO EN MALLA Y ANDEN PERIMETRAL UBICADO EN LA GRANJA EXPERIMENTAL USCO.                                                                     * SUMINISTRO E INSTALACION DE 18 PUNTOS DE RED DE DATOS PARA LA FACULTAD DE ECONOMIA Y ADMINISTRACION DE LA USCO (Orden de Compra en la Vicerrectoría Administrativa)                                                                                                                                         *ADECUACION DE BATERIAS SANITARIAS Y SISTEMA DE AGUAS NEGRAS PARA LA FACULTAD DE EDUCACION DE LA SEDE CENTRAL                                                                                            (Demás contratos reposan en el archivo de la Unidad de Contratación)                                                                                                                                            </t>
  </si>
  <si>
    <t>*SE REALIZÓ: INSPECCION RETIE DE LAS INSTALACIONES ELECTRICAS DE LA OBRA CINE CAFÉ DE LA SEDE CENTRAL DE LA USCO (Orden V.A0115 reposa en la Vicerrectoría Administrativa).                                                                                                                                       *ADECUACION DE BATERIAS SANITARIAS Y SISTEMA DE AGUAS NEGRAS PARA LA FACULTAD DE EDUCACION DE LA SEDE CENTRAL DE LA USCO.                                                                                     *ADECUACIONES A LOS LABORATORIOS DE LAS DIFERENTES FACULTADES DE LA USCO                     *INSTALACION DE AIRES ACONDICIONADOS EN DEPENDENCIAS DEL EDIFICIO DE LA FACULTAD DE ECONOMIA.                                                                                                                        *INSTALACION DE SISTEMA DE CAMARAS DE SEGURIDAD AL INTERIOR DEL EDIFICIO DE LA FACULTAD DE ECONOMIA - CABLEADO Y FUENTES DE PODER.                                                              *ADECUACIONES, MANTENIMIENTOS Y MEJORAS EN INFRAESTRUCTURA DE LAS SEDES FAC. JURIDICA.                                                                                                                                                 *ADECUACIONES OFICINA DEL CONSULTORIO JURIDICO DE LA SEDE PITALITO DE LA USCO. *ADECUACIONES DEL SISTEMA DE PROTECCION Y ALIMENTACION DE LA SUBESTACION ELECTRICA DE LA SEDE CENTRAL DE LA USCO.                                                                                        *MANTENIMIENTO DE ASCENSORES DE LA SEDE DE POSTGRADOS DE LA UNIVERSIDAD SURCOLOMBIANA. Contrato en Vicerrectoría Administrativa y los anteriores reposan en la Unidad de Contratación</t>
  </si>
  <si>
    <t>MNP</t>
  </si>
  <si>
    <t>* SE REALIZÓ LA COMPRA E INSTALACION DE EQUIPOS Y ADECUACION DE RED DE DATOS PARA LABORATORIOS DE BILINGUISMO SEDES NEIVA Y GARZON.                                                       *COMPRA DE EQUIPO DE LABORATORIO HPCL ESPECIALIZADO PARA LABORATORIO CESURCAFE                                                                                                                                                   *COMPRA DE MATERIALES PARA LOS LABORATORIOS DE HISTOLOGIA Y MORFOLOGIA DE LA FACULTAD DE SALUD                                                                                                                          *COMPRA E INSTALACION DE MOBILIARIO, EQUIPOS Y ADECUACION DE RED DE DATOS LABORATORIOS DE BILINGUISMO SEDES USCO DE NEIVA Y GARZON.                                              (Contratos y ordenes reposan en la Vicerrectoría Administrativa y la Unidad de Contratación)</t>
  </si>
  <si>
    <t>*SUMINISTRO DE REACTIVOS PARA EL LABORATORIO DE INMUGENETICA DE LA FACULTAD DE SALUD  (Orden reposa en el archivo de la Vicerrectoría Administrativa)</t>
  </si>
  <si>
    <t xml:space="preserve">*ADQUISICION DE EQUIPOS E INSUMOS PARA EL LABORATORIO DE FISICA DE LA FACULTAD DE CIENCIAS EXACTAS Y NATURALES DE PITALITO.                                                                                 *ADQUISICION DE MISCROSCOPIOS Y ESTEROSCOPIOS PARA EL LABORATORIO DE BIOLOGIA DE LA FACULTAD DE CIENCIAS EXACTAS DE PITALITO.                                                                             *ADQUISICION DE EQUIPOS E INSUMOS PARA EL LABORATORIO DE QUIMICA Y BIOLOGIA DE LA FACULTAD DE CIENCIAS EXACTAS Y NATURALES DE PITALITO                                                             *ADQUISICION DE EQUIPO FIBROSCOPIA DE INTUBACION 3.7. MM X 65 CON DESTINO A LA FACULTAD DE SALUD DE LA USCO                                                                                                              *ADQUISICION DE MOBILIARIO MULTIPROPOSITO ADSCRITO A LA FACULTAD DE CIENCIAS EXACTAS Y NATURALES SEDE LA PLATA                                                                                                           *ADQUISICION DE ELEMENTOS DE LABORATORIO DE EVALUACION Y DESARROLLO DE RENDIMIENTO FISICO PROG. DE EDUCACION FISICA                                                                               *DOTACION DE EQUIPOS, ACCESORIOS, REACTIVOS E INSUMOS PARA LABORATORIO DE LAS SEDES(FAC. INGENIERIA)                                                                                                                                *SUMINISTRO DE REACTIVOS PARA LABORATORIO DE INMUNOLOGIA ADSCRITO A LA FACULTAD DE SALUD                                                                                                                                    (Copia de las ordenes y contratos reposan en Vicerrectoría Administrativa y Unidad de Contratación según el caso)                </t>
  </si>
  <si>
    <t>*SE REALIZÓ COMPRA DE EQUIPOS VIDEO BEAM PARA LA FACULTAD DE ECONOMIA Y ADMINISTRACION</t>
  </si>
  <si>
    <t xml:space="preserve">*ADQUISICION DE SILLAS UNIVERSITARIAS PARA AULAS DE DIFERENTES SEDES DE LA UNIVERSIDAD SURCOLOMBIANA.                                                                                                                     *DOTACION DE MUEBLES Y EQUIPOS DE OFICINA PARA TODAS LAS SEDES: FAC. SALUD, FAC. ECONOMIA, LA SALA DE AUDIENCIA DEL PROGRAMA DE DERECHO                                                                                                                                                     *COMPRA DE EQUIPOS PARA DOTAR PROGRAMA DE DERECHO DE LA FACULTAD DE CIENCIAS JURIDICAS                                                                                                                                                          *COMPRA DE AIRES ACONDICIONADOS PARA INSTALACIONES DEL PROGRAMA DE DERECHO                 (Contratos reposan en el archivo de            </t>
  </si>
  <si>
    <t xml:space="preserve">*AQUISICION DE EQUIPOS PARA FORTALECIMIENTO DE PLATAFORMA TECNOLOGICA FINANCIERA APLICATIVO LINIX                                                                                                            *ADQUISICION DE AIRES ACONDICIONADOS PARA LAS DIFERENTES DEPENDENCIAS Y SEDES DE LA USCO  (PARA SALA DE PROFESORES DE LA FACULTAD DE ECONOMIA Y ADMINISTRACION)                                                                                                                                             *ADQUISICION DE CAMARAS DE SEGURIDAD Y DVR PARA SISTEMA DE SEGURIDAD AL INTERIOR DEL EDIFICIO DE LA FAC. DE ECONOMIA                                                                               *DOTACION DE MUEBLES Y EQUIPOS DE OFICINA PARA LAS DIFERENTES OFICINAS DE LA FACULTAD DE CIENCIAS JURIDICAS,CIENCIAS EXACTAS Y NATURALES                                                                   (Archivo Unidad de Contratación)                                                                                             </t>
  </si>
  <si>
    <t>*SE REALIZÓ LA RENOVACION DE LA SUSCRIPCION DE BASE DE DATOS VIRTUAL ESPECIALIZADA A LA UNIVERSIDAD SURCOLOMBIANA (Contrato Selección Directa archivo en la Vicerrectoría Administrativa)                                                                                                          *SUFRAGAR GASTOS QUE OCASIONA LA COMPRA DE BIBLIOGRAFIA INDISPENSABLE Y NECESARIA COMO MATERIA                                                                                                                        *APOYO ECONOMICO PARA ADQUIRIR MATERIAL BIBLIOGRAFICO AL ICONTEC-FAC. INGENIERIA</t>
  </si>
  <si>
    <t>*ADQUISICION BIBLIOGRAFICA PARA LA FACULTAD DE INGENIERIA                                                     *ADQUISICION DE MEMBRESIAS CORPORATIVAS INSTITUTO NACIONAL DE AUDITORES INTERNOS EN COLOMBIA                                                                                                                               *ADQUISICION MATERIAL BIBLIOGRAFICO PARA PROGRAMAS ACADEMICOS FACULTAD DE ECONOMIA Y LA FACULTAD DE CIENCIAS JURIDICAS Y POLITICAS</t>
  </si>
  <si>
    <t>*MANTENIMIENTO DE EQUIPOS DE LABORATORIO DE ALTA COMPLEJIDAD EN EL LABORATORIO DE QUIMICA DE LA USCO                                                                                              *MANTENIMIENTO Y PUESTA EN FUNCIONAMIENTO DE IMPRESORA HP LASERJET                                 *MANTENIMIENTO DE PISCINA, DESISTALACION E INSTALACION SISTEMA DE FILTRADO, SUMINISTRO DE ARAÑA, FLAUTAS, CONECTORES Y DIFUSORES   (Orden en el archivo de Vicerrectoría Administrativa)                                                                                                 *MANTENIMIENTO DE EQUIPOS VIDEOPROYECTORES DE PROGRAMA DE DERECHO Y DECANATURA FACLTAD CIENCIAS JURIDICAS</t>
  </si>
  <si>
    <t xml:space="preserve">*SUMINISTRO DE REPUESTOS, PARTES Y OTROS ELEMENTOS PARA MANTENIMIENTO PREVENTIVO Y CORRECTIVO DE COMPUTADORES E IMPRESORAS    (Orden en archivo de Vicerrectoría Administrativa)                                                                                                           *MANTENIMEINTO DE EQUIPOS DE LABORATORIO, MUEBLES, ACCESORIOS Y EQUIPOS DE OFICINA                                                                                                                                                       </t>
  </si>
  <si>
    <t>*MANTENIMIENTO DE EQUIPOS DE LABORATORIO, MUEBLES, ACCESORIOS Y EQUIPOS DE OFICINAS DE TODAS LAS SEDES                                                                                                                *MANTENIMIENTO DE EQUIPOS VIDEOPROYECTORES DE PROGRAMA DE CIENCIA POLITICA</t>
  </si>
  <si>
    <t>SUMINISTRO</t>
  </si>
  <si>
    <t>* DOTACION DE ELEMENTOS DE ASEO Y CAFETERIA</t>
  </si>
  <si>
    <t>*DOTACION DE ELEMENTOS DE ASEO Y CAFETERIA</t>
  </si>
  <si>
    <t>*RENOVACION DE LICENCIAMIENTOS DE ANTIVIRUS (contrato selección directa en archivo de Vicerrectoría Administrativa)</t>
  </si>
  <si>
    <t>*RENOVACION DE LICENCIAMIENTO DE SOFTWARE DE MICROSOFT OFFICE MEDIANTE MODALIDAD DE CAMPUS AGREEMENT POR UN AÑO PARA LA USCO                                                    *RENOVACION DE LICENCIA Y SOPORTE DE EQUIPO F52200S ESTANDAR BIG-IP SERVICE DEL CENTRO DE TECNOLOGIAS DE INFORMACION Y COMUNICACIONES                                                * RENOVACION DE LICENCIA CHECK POINT 4600 Y 4800 UTM SOFTWARE BLADES PACKAGE CON DESTINO AL DATACENTER DEL CTIC USCO                                                                                          *RENOVACION DE CERTIFICADOS DIGITALES PARA LOS DOMINIOS WWW. DE LA UNIVERSIDAD SURCOLOMBIANA                                                                                                        (Ordenes en archivo de Vicerrectoría Administrativa)</t>
  </si>
  <si>
    <t xml:space="preserve">*RENOVACION DE LICENCIA RED HAT ENTERPRISE LINUX SERVER, ESTANDAR PARA LOS SERVICIOS DEL CTIC                                                                                                                                       *ADQUISICION DE SOFTWARE Y LICENCIAS PARA FORTALECIMIENTO DE PLATAFORMA TECNOLOGIA Y FINANCIERA - ACTULIZACION DE APLICATIVO LINIX                                                         *EXTENSION DE GARANTIA PARA EL SOPORTE A NIVEL HARDWARE Y SOFTWARE DE LA UNIDAD DE ALMACENAMIENTO MSA2040 Y SAN SWICHT                                                                            *ADQUISICION DE SOFTWARE ME MIGRACION DE APPLIANCES (CHECKPOINT 4600-4800 U F5 GIB IP)                                                                                                                                                         (Ordenes y contratos en el archivo de Vicerrectoría Administrativa)                                                                               </t>
  </si>
  <si>
    <t>*Contratos de prestación de servicios en el area de Talento Humano</t>
  </si>
  <si>
    <t>IMPLEMENTACIÓN</t>
  </si>
  <si>
    <t>*Vinculación del personal al proyecto de Implementación de la Plataforma LCMS (archivo en el area de Talento Humano)</t>
  </si>
  <si>
    <t xml:space="preserve">*SERVICIOS PARA CULMINACION DE IMPLEMENTACION DE PLATAFORMA LCMS PARA AUMENTAR COBERTURA EDUCACION SUPERIOR EN EL DEPARTAMENTO DEL HUILA </t>
  </si>
  <si>
    <t>*VINCULACION DE PERSONAL AL PROYECTO ASEGURAMIENTO DEL SISTEMA DE GESTION AMBIENTAL DE LA USCO (archivo en el area de Talento Humano)</t>
  </si>
  <si>
    <t>*Vinculación del personal ( archivo area de Talento Humano)</t>
  </si>
  <si>
    <t>*FORMACION EN AUDITORIA INTERNA DE LA NORMA ISO 14001:2015 DE GESTION AMBIENTAL  ( Contrato en archivo de Vicerrectoría Administrativa)</t>
  </si>
  <si>
    <t>*VINCULACION DE PERSONAL AL PROYECTO ASEGURAMIENTO DEL SISTEMA DE GESTION DE CALIDAD DE LA USCO (Archivo en el area de Talento Humano)</t>
  </si>
  <si>
    <t>*VINCULACION DE PERSONAL DE APOYO EN SISTEMA DE GESTION DE CALIDAD PARA LOS PROCESOS EN LA OFICINA DE ACREDITACION INSTITUCIONAL  (Archivo en el area de Talento Humano)</t>
  </si>
  <si>
    <t>*ACTUALIZACION DE AUDITORES INTERNOS DE CALIDAD PARA LA UNIVERSDIAD SURCOLOMBIANA  (Contrato reposa en el archivo de la Vicerrectoría Administrativa)</t>
  </si>
  <si>
    <t>*SERVICIOS DE APOYO A LA GESTION EN EL PROCESO DE REESTRUCTURACION ORGANIZACIONAL ACADEMICA Y ADMINISTRATIVA DE LA USCO  (Contratos de Apoyo y Abogado reposan en el Area de Talento Humano)</t>
  </si>
  <si>
    <t>META EJECUTADA 1er.Semestre</t>
  </si>
  <si>
    <t>*RELACIÓN DE CAPACITACIONES (Archivo de Talento Humano)</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</si>
</sst>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 #,##0_);[Red]\(&quot;$&quot;\ #,##0\)"/>
    <numFmt numFmtId="43" formatCode="_(* #,##0.00_);_(* \(#,##0.00\);_(* &quot;-&quot;??_);_(@_)"/>
    <numFmt numFmtId="164" formatCode="&quot;$ &quot;#,##0"/>
    <numFmt numFmtId="165" formatCode="_(* #,##0_);_(* \(#,##0\);_(* &quot;-&quot;??_);_(@_)"/>
    <numFmt numFmtId="166" formatCode="_-* #,##0.00\ [$€]_-;\-* #,##0.00\ [$€]_-;_-* &quot;-&quot;??\ [$€]_-;_-@_-"/>
    <numFmt numFmtId="167" formatCode="#,##0_ ;[Red]\-#,##0\ "/>
    <numFmt numFmtId="168" formatCode="_ * #,##0.00_ ;_ * \-#,##0.00_ ;_ * &quot;-&quot;??_ ;_ @_ "/>
    <numFmt numFmtId="169" formatCode="0.0%"/>
  </numFmts>
  <fonts count="54" x14ac:knownFonts="1">
    <font>
      <sz val="11"/>
      <color theme="1"/>
      <name val="Calibri"/>
      <family val="2"/>
      <scheme val="minor"/>
    </font>
    <font>
      <sz val="11"/>
      <color theme="1"/>
      <name val="Calibri"/>
      <family val="2"/>
      <scheme val="minor"/>
    </font>
    <font>
      <b/>
      <sz val="11"/>
      <color theme="1"/>
      <name val="Calibri"/>
      <family val="2"/>
      <scheme val="minor"/>
    </font>
    <font>
      <b/>
      <sz val="13.5"/>
      <color theme="1"/>
      <name val="Calibri"/>
      <family val="2"/>
      <scheme val="minor"/>
    </font>
    <font>
      <sz val="10"/>
      <name val="Arial"/>
      <family val="2"/>
      <charset val="1"/>
    </font>
    <font>
      <b/>
      <sz val="11"/>
      <color rgb="FF000000"/>
      <name val="Calibri"/>
      <family val="2"/>
      <charset val="1"/>
    </font>
    <font>
      <b/>
      <sz val="12"/>
      <color rgb="FF000000"/>
      <name val="Calibri"/>
      <family val="2"/>
      <charset val="1"/>
    </font>
    <font>
      <sz val="9"/>
      <color theme="1"/>
      <name val="Calibri"/>
      <family val="2"/>
      <scheme val="minor"/>
    </font>
    <font>
      <sz val="10"/>
      <color theme="1"/>
      <name val="Calibri"/>
      <family val="2"/>
      <scheme val="minor"/>
    </font>
    <font>
      <sz val="11"/>
      <name val="Calibri"/>
      <family val="2"/>
      <scheme val="minor"/>
    </font>
    <font>
      <sz val="9"/>
      <name val="Calibri"/>
      <family val="2"/>
      <scheme val="minor"/>
    </font>
    <font>
      <sz val="10"/>
      <name val="Arial"/>
      <family val="2"/>
    </font>
    <font>
      <sz val="10"/>
      <name val="Calibri"/>
      <family val="2"/>
      <scheme val="minor"/>
    </font>
    <font>
      <b/>
      <sz val="11"/>
      <name val="Arial"/>
      <family val="2"/>
    </font>
    <font>
      <b/>
      <sz val="10"/>
      <name val="Arial"/>
      <family val="2"/>
    </font>
    <font>
      <sz val="9"/>
      <color rgb="FFFF0000"/>
      <name val="Calibri"/>
      <family val="2"/>
      <scheme val="minor"/>
    </font>
    <font>
      <sz val="11"/>
      <name val="Arial"/>
      <family val="2"/>
    </font>
    <font>
      <sz val="8"/>
      <name val="Calibri"/>
      <family val="2"/>
      <scheme val="minor"/>
    </font>
    <font>
      <b/>
      <sz val="11"/>
      <color theme="1"/>
      <name val="Arial"/>
      <family val="2"/>
    </font>
    <font>
      <b/>
      <sz val="12"/>
      <color theme="1"/>
      <name val="Calibri"/>
      <family val="2"/>
      <scheme val="minor"/>
    </font>
    <font>
      <sz val="12"/>
      <color theme="1"/>
      <name val="Calibri"/>
      <family val="2"/>
      <scheme val="minor"/>
    </font>
    <font>
      <b/>
      <sz val="10"/>
      <color theme="1"/>
      <name val="Arial"/>
      <family val="2"/>
    </font>
    <font>
      <b/>
      <sz val="10"/>
      <color theme="1"/>
      <name val="Calibri"/>
      <family val="2"/>
      <scheme val="minor"/>
    </font>
    <font>
      <sz val="11"/>
      <color indexed="8"/>
      <name val="Arial"/>
      <family val="2"/>
      <charset val="1"/>
    </font>
    <font>
      <sz val="12"/>
      <color theme="1"/>
      <name val="Tahoma"/>
      <family val="2"/>
    </font>
    <font>
      <sz val="11"/>
      <color rgb="FF000000"/>
      <name val="Calibri"/>
      <family val="2"/>
      <charset val="1"/>
    </font>
    <font>
      <b/>
      <sz val="15"/>
      <color theme="1"/>
      <name val="Calibri"/>
      <family val="2"/>
      <scheme val="minor"/>
    </font>
    <font>
      <b/>
      <sz val="11"/>
      <color theme="0"/>
      <name val="Arial"/>
      <family val="2"/>
    </font>
    <font>
      <b/>
      <sz val="12"/>
      <color theme="0"/>
      <name val="Arial"/>
      <family val="2"/>
    </font>
    <font>
      <b/>
      <sz val="12"/>
      <color theme="1"/>
      <name val="Arial"/>
      <family val="2"/>
    </font>
    <font>
      <b/>
      <sz val="10"/>
      <color rgb="FF000000"/>
      <name val="Calibri"/>
      <family val="2"/>
      <charset val="1"/>
    </font>
    <font>
      <b/>
      <sz val="13.5"/>
      <color theme="0"/>
      <name val="Calibri"/>
      <family val="2"/>
      <scheme val="minor"/>
    </font>
    <font>
      <sz val="10"/>
      <color theme="1"/>
      <name val="Arial"/>
      <family val="2"/>
    </font>
    <font>
      <b/>
      <sz val="11"/>
      <color theme="0"/>
      <name val="Calibri"/>
      <family val="2"/>
      <scheme val="minor"/>
    </font>
    <font>
      <sz val="11"/>
      <color theme="0"/>
      <name val="Calibri"/>
      <family val="2"/>
      <scheme val="minor"/>
    </font>
    <font>
      <b/>
      <sz val="9"/>
      <color rgb="FF000000"/>
      <name val="Calibri"/>
      <family val="2"/>
      <scheme val="minor"/>
    </font>
    <font>
      <b/>
      <sz val="16"/>
      <color theme="1"/>
      <name val="Batang"/>
      <family val="1"/>
    </font>
    <font>
      <b/>
      <sz val="10"/>
      <color rgb="FF000000"/>
      <name val="Calibri"/>
      <family val="2"/>
      <scheme val="minor"/>
    </font>
    <font>
      <sz val="10"/>
      <color rgb="FF000000"/>
      <name val="Calibri"/>
      <family val="2"/>
      <scheme val="minor"/>
    </font>
    <font>
      <b/>
      <sz val="16"/>
      <color rgb="FF000000"/>
      <name val="Batang"/>
      <family val="1"/>
    </font>
    <font>
      <b/>
      <sz val="16"/>
      <color rgb="FF000000"/>
      <name val="BatangChe"/>
      <family val="3"/>
    </font>
    <font>
      <b/>
      <sz val="9"/>
      <color theme="1"/>
      <name val="Calibri"/>
      <family val="2"/>
      <scheme val="minor"/>
    </font>
    <font>
      <sz val="10"/>
      <color rgb="FF000000"/>
      <name val="Arial"/>
      <family val="2"/>
    </font>
    <font>
      <b/>
      <sz val="15"/>
      <color theme="0"/>
      <name val="Calibri"/>
      <family val="2"/>
      <scheme val="minor"/>
    </font>
    <font>
      <b/>
      <sz val="12"/>
      <color theme="0"/>
      <name val="Calibri"/>
      <family val="2"/>
      <charset val="1"/>
    </font>
    <font>
      <b/>
      <sz val="11"/>
      <name val="Calibri"/>
      <family val="2"/>
      <scheme val="minor"/>
    </font>
    <font>
      <sz val="9"/>
      <color indexed="81"/>
      <name val="Tahoma"/>
      <charset val="1"/>
    </font>
    <font>
      <b/>
      <sz val="9"/>
      <color indexed="81"/>
      <name val="Tahoma"/>
      <charset val="1"/>
    </font>
    <font>
      <sz val="72"/>
      <color theme="1"/>
      <name val="Calibri"/>
      <family val="2"/>
      <scheme val="minor"/>
    </font>
    <font>
      <b/>
      <sz val="72"/>
      <color theme="1"/>
      <name val="Calibri"/>
      <family val="2"/>
      <scheme val="minor"/>
    </font>
    <font>
      <sz val="11"/>
      <color rgb="FFFF0000"/>
      <name val="Calibri"/>
      <family val="2"/>
      <scheme val="minor"/>
    </font>
    <font>
      <sz val="10"/>
      <color rgb="FFFF0000"/>
      <name val="Arial"/>
      <family val="2"/>
    </font>
    <font>
      <b/>
      <sz val="9"/>
      <color indexed="81"/>
      <name val="Tahoma"/>
      <family val="2"/>
    </font>
    <font>
      <sz val="9"/>
      <color indexed="81"/>
      <name val="Tahoma"/>
      <family val="2"/>
    </font>
  </fonts>
  <fills count="24">
    <fill>
      <patternFill patternType="none"/>
    </fill>
    <fill>
      <patternFill patternType="gray125"/>
    </fill>
    <fill>
      <patternFill patternType="solid">
        <fgColor theme="8" tint="0.59999389629810485"/>
        <bgColor indexed="65"/>
      </patternFill>
    </fill>
    <fill>
      <patternFill patternType="solid">
        <fgColor theme="6" tint="0.59999389629810485"/>
        <bgColor indexed="64"/>
      </patternFill>
    </fill>
    <fill>
      <patternFill patternType="solid">
        <fgColor theme="5" tint="0.39997558519241921"/>
        <bgColor indexed="64"/>
      </patternFill>
    </fill>
    <fill>
      <patternFill patternType="solid">
        <fgColor rgb="FF76933C"/>
        <bgColor rgb="FF7F7F7F"/>
      </patternFill>
    </fill>
    <fill>
      <patternFill patternType="solid">
        <fgColor theme="3" tint="0.79998168889431442"/>
        <bgColor indexed="64"/>
      </patternFill>
    </fill>
    <fill>
      <patternFill patternType="solid">
        <fgColor rgb="FFC5D9F1"/>
        <bgColor rgb="FFD9D9D9"/>
      </patternFill>
    </fill>
    <fill>
      <patternFill patternType="solid">
        <fgColor theme="3" tint="0.79998168889431442"/>
        <bgColor rgb="FF7F7F7F"/>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rgb="FFAD142E"/>
        <bgColor indexed="64"/>
      </patternFill>
    </fill>
    <fill>
      <patternFill patternType="solid">
        <fgColor rgb="FFFDEADA"/>
        <bgColor rgb="FFFDE9D9"/>
      </patternFill>
    </fill>
    <fill>
      <patternFill patternType="solid">
        <fgColor theme="9" tint="0.79998168889431442"/>
        <bgColor indexed="64"/>
      </patternFill>
    </fill>
    <fill>
      <patternFill patternType="solid">
        <fgColor rgb="FFB8CCE4"/>
        <bgColor indexed="64"/>
      </patternFill>
    </fill>
    <fill>
      <patternFill patternType="solid">
        <fgColor rgb="FFFFD5FF"/>
        <bgColor indexed="64"/>
      </patternFill>
    </fill>
    <fill>
      <patternFill patternType="solid">
        <fgColor rgb="FFD8E4BC"/>
        <bgColor indexed="64"/>
      </patternFill>
    </fill>
    <fill>
      <patternFill patternType="solid">
        <fgColor rgb="FFFFFFCC"/>
        <bgColor indexed="64"/>
      </patternFill>
    </fill>
    <fill>
      <patternFill patternType="solid">
        <fgColor rgb="FFFCD5B4"/>
        <bgColor indexed="64"/>
      </patternFill>
    </fill>
    <fill>
      <patternFill patternType="solid">
        <fgColor rgb="FFFFFFFF"/>
        <bgColor indexed="64"/>
      </patternFill>
    </fill>
    <fill>
      <patternFill patternType="solid">
        <fgColor rgb="FFAD142E"/>
        <bgColor rgb="FFE6B9B8"/>
      </patternFill>
    </fill>
    <fill>
      <patternFill patternType="solid">
        <fgColor theme="5" tint="0.59999389629810485"/>
        <bgColor indexed="64"/>
      </patternFill>
    </fill>
    <fill>
      <patternFill patternType="solid">
        <fgColor theme="9" tint="0.39997558519241921"/>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style="thin">
        <color rgb="FFAD142E"/>
      </left>
      <right style="thin">
        <color rgb="FFAD142E"/>
      </right>
      <top style="thin">
        <color rgb="FFAD142E"/>
      </top>
      <bottom style="thin">
        <color rgb="FFAD142E"/>
      </bottom>
      <diagonal/>
    </border>
    <border>
      <left/>
      <right/>
      <top style="thin">
        <color rgb="FFAD142E"/>
      </top>
      <bottom style="thin">
        <color indexed="64"/>
      </bottom>
      <diagonal/>
    </border>
    <border>
      <left/>
      <right style="thin">
        <color indexed="64"/>
      </right>
      <top style="thin">
        <color rgb="FFAD142E"/>
      </top>
      <bottom style="thin">
        <color indexed="64"/>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s>
  <cellStyleXfs count="16">
    <xf numFmtId="0" fontId="0" fillId="0" borderId="0"/>
    <xf numFmtId="43" fontId="1" fillId="0" borderId="0" applyFont="0" applyFill="0" applyBorder="0" applyAlignment="0" applyProtection="0"/>
    <xf numFmtId="0" fontId="4" fillId="0" borderId="0"/>
    <xf numFmtId="0" fontId="24" fillId="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0" borderId="0"/>
    <xf numFmtId="0" fontId="11" fillId="0" borderId="0"/>
    <xf numFmtId="0" fontId="11" fillId="0" borderId="0"/>
    <xf numFmtId="0" fontId="11" fillId="0" borderId="0"/>
    <xf numFmtId="0" fontId="25" fillId="0" borderId="0"/>
    <xf numFmtId="9" fontId="1" fillId="0" borderId="0" applyFont="0" applyFill="0" applyBorder="0" applyAlignment="0" applyProtection="0"/>
  </cellStyleXfs>
  <cellXfs count="751">
    <xf numFmtId="0" fontId="0" fillId="0" borderId="0" xfId="0"/>
    <xf numFmtId="0" fontId="8" fillId="0" borderId="1" xfId="0" applyFont="1" applyBorder="1" applyAlignment="1">
      <alignment horizontal="center" vertical="center" wrapText="1"/>
    </xf>
    <xf numFmtId="0" fontId="9" fillId="0" borderId="1" xfId="0" applyFont="1" applyFill="1" applyBorder="1" applyAlignment="1">
      <alignment vertical="center" wrapText="1"/>
    </xf>
    <xf numFmtId="0" fontId="9" fillId="0" borderId="1"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3" fontId="11" fillId="9" borderId="1" xfId="0" applyNumberFormat="1" applyFont="1" applyFill="1" applyBorder="1" applyAlignment="1">
      <alignment horizontal="right" vertical="center" wrapText="1"/>
    </xf>
    <xf numFmtId="3" fontId="0" fillId="0" borderId="1" xfId="0" applyNumberFormat="1" applyBorder="1" applyAlignment="1">
      <alignment vertical="center"/>
    </xf>
    <xf numFmtId="0" fontId="0" fillId="0" borderId="1" xfId="0" applyBorder="1"/>
    <xf numFmtId="0" fontId="0" fillId="0" borderId="1" xfId="0" applyBorder="1" applyAlignment="1">
      <alignment vertical="top" wrapText="1"/>
    </xf>
    <xf numFmtId="0" fontId="0" fillId="0" borderId="1" xfId="0" applyFont="1" applyBorder="1" applyAlignment="1">
      <alignment horizontal="left" vertical="top" wrapText="1"/>
    </xf>
    <xf numFmtId="0" fontId="12" fillId="0" borderId="1" xfId="0" applyFont="1" applyBorder="1" applyAlignment="1">
      <alignment horizontal="center" vertical="center" wrapText="1"/>
    </xf>
    <xf numFmtId="0" fontId="0" fillId="0" borderId="1" xfId="0" applyBorder="1" applyAlignment="1">
      <alignment wrapText="1"/>
    </xf>
    <xf numFmtId="0" fontId="9" fillId="0" borderId="10" xfId="0" applyFont="1" applyFill="1" applyBorder="1" applyAlignment="1">
      <alignment vertical="center" wrapText="1"/>
    </xf>
    <xf numFmtId="0" fontId="0" fillId="9" borderId="1" xfId="0" applyFill="1" applyBorder="1" applyAlignment="1">
      <alignment textRotation="255"/>
    </xf>
    <xf numFmtId="3" fontId="10" fillId="10" borderId="1" xfId="0" applyNumberFormat="1" applyFont="1" applyFill="1" applyBorder="1" applyAlignment="1">
      <alignment horizontal="center" vertical="center" wrapText="1"/>
    </xf>
    <xf numFmtId="3" fontId="14" fillId="10" borderId="1" xfId="0" applyNumberFormat="1" applyFont="1" applyFill="1" applyBorder="1" applyAlignment="1">
      <alignment horizontal="right" vertical="center" wrapText="1"/>
    </xf>
    <xf numFmtId="0" fontId="0" fillId="10" borderId="1" xfId="0" applyFill="1" applyBorder="1"/>
    <xf numFmtId="0" fontId="0" fillId="9" borderId="0" xfId="0" applyFill="1"/>
    <xf numFmtId="0" fontId="8" fillId="0" borderId="4" xfId="0" applyFont="1" applyFill="1" applyBorder="1" applyAlignment="1">
      <alignment horizontal="center" vertical="center" wrapText="1"/>
    </xf>
    <xf numFmtId="0" fontId="9" fillId="0" borderId="4" xfId="0" applyFont="1" applyFill="1" applyBorder="1" applyAlignment="1">
      <alignment vertical="center" wrapText="1"/>
    </xf>
    <xf numFmtId="3" fontId="0" fillId="0" borderId="4" xfId="0" applyNumberFormat="1" applyBorder="1" applyAlignment="1">
      <alignment vertical="center"/>
    </xf>
    <xf numFmtId="0" fontId="0" fillId="0" borderId="4" xfId="0" applyBorder="1"/>
    <xf numFmtId="0" fontId="0" fillId="0" borderId="1" xfId="0" applyFont="1" applyBorder="1" applyAlignment="1">
      <alignment vertical="center" wrapText="1"/>
    </xf>
    <xf numFmtId="0" fontId="8" fillId="0" borderId="1" xfId="0" applyFont="1" applyFill="1" applyBorder="1" applyAlignment="1">
      <alignment horizontal="center" vertical="center" wrapText="1"/>
    </xf>
    <xf numFmtId="3" fontId="10" fillId="9" borderId="1" xfId="0" applyNumberFormat="1" applyFont="1" applyFill="1" applyBorder="1" applyAlignment="1">
      <alignment horizontal="center" vertical="center" wrapText="1"/>
    </xf>
    <xf numFmtId="0" fontId="0" fillId="0" borderId="1" xfId="0" applyBorder="1" applyAlignment="1">
      <alignment vertical="center" wrapText="1"/>
    </xf>
    <xf numFmtId="0" fontId="12" fillId="0" borderId="1" xfId="0" applyFont="1" applyFill="1" applyBorder="1" applyAlignment="1">
      <alignment horizontal="center" vertical="center" wrapText="1"/>
    </xf>
    <xf numFmtId="0" fontId="0" fillId="0" borderId="1" xfId="0" applyFill="1" applyBorder="1"/>
    <xf numFmtId="0" fontId="0" fillId="0" borderId="0" xfId="0" applyFill="1"/>
    <xf numFmtId="0" fontId="0" fillId="0" borderId="1" xfId="0" applyFill="1" applyBorder="1" applyAlignment="1">
      <alignment vertical="center" wrapText="1"/>
    </xf>
    <xf numFmtId="0" fontId="0" fillId="9" borderId="1" xfId="0" applyFill="1" applyBorder="1" applyAlignment="1"/>
    <xf numFmtId="0" fontId="0" fillId="0" borderId="1" xfId="0" applyBorder="1" applyAlignment="1">
      <alignment horizontal="center" vertical="center"/>
    </xf>
    <xf numFmtId="0" fontId="16" fillId="0" borderId="1" xfId="0" applyFont="1" applyFill="1" applyBorder="1" applyAlignment="1">
      <alignment vertical="top" wrapText="1"/>
    </xf>
    <xf numFmtId="3" fontId="17"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top" wrapText="1"/>
    </xf>
    <xf numFmtId="0" fontId="9" fillId="0" borderId="1" xfId="0" applyFont="1" applyFill="1" applyBorder="1" applyAlignment="1">
      <alignment vertical="top" wrapText="1"/>
    </xf>
    <xf numFmtId="3" fontId="10" fillId="11" borderId="1" xfId="0" applyNumberFormat="1" applyFont="1" applyFill="1" applyBorder="1" applyAlignment="1">
      <alignment horizontal="center" vertical="center" wrapText="1"/>
    </xf>
    <xf numFmtId="0" fontId="9" fillId="0" borderId="9" xfId="0" applyFont="1" applyFill="1" applyBorder="1" applyAlignment="1">
      <alignment vertical="top"/>
    </xf>
    <xf numFmtId="0" fontId="9" fillId="0" borderId="4" xfId="0" applyFont="1" applyFill="1" applyBorder="1" applyAlignment="1">
      <alignment vertical="top"/>
    </xf>
    <xf numFmtId="0" fontId="12"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18" fillId="10"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3" fontId="10" fillId="0" borderId="1" xfId="0" applyNumberFormat="1" applyFont="1" applyFill="1" applyBorder="1" applyAlignment="1">
      <alignment horizontal="center" vertical="top"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3" fontId="0" fillId="0" borderId="1" xfId="0" applyNumberFormat="1" applyFill="1" applyBorder="1" applyAlignment="1">
      <alignment horizontal="center" vertical="center"/>
    </xf>
    <xf numFmtId="0" fontId="19" fillId="0" borderId="1" xfId="0" applyFont="1" applyFill="1" applyBorder="1" applyAlignment="1">
      <alignment horizontal="center" vertical="center"/>
    </xf>
    <xf numFmtId="0" fontId="0" fillId="0" borderId="1" xfId="0" applyBorder="1" applyAlignment="1">
      <alignment horizontal="left" vertical="top" wrapText="1"/>
    </xf>
    <xf numFmtId="0" fontId="0" fillId="0" borderId="9" xfId="0" applyFill="1" applyBorder="1" applyAlignment="1">
      <alignment horizontal="center" vertical="center"/>
    </xf>
    <xf numFmtId="0" fontId="0" fillId="0" borderId="9" xfId="0" applyFill="1" applyBorder="1" applyAlignment="1">
      <alignment horizontal="center" vertical="center" wrapText="1"/>
    </xf>
    <xf numFmtId="0" fontId="0" fillId="0" borderId="4" xfId="0" applyBorder="1" applyAlignment="1">
      <alignment horizontal="center" vertical="center"/>
    </xf>
    <xf numFmtId="0" fontId="0" fillId="0" borderId="2" xfId="0" applyBorder="1" applyAlignment="1">
      <alignment horizontal="center" vertical="center"/>
    </xf>
    <xf numFmtId="165" fontId="0" fillId="0" borderId="1" xfId="1" applyNumberFormat="1" applyFont="1" applyBorder="1" applyAlignment="1">
      <alignment horizontal="center" vertical="center"/>
    </xf>
    <xf numFmtId="3" fontId="0" fillId="0" borderId="1" xfId="0" applyNumberFormat="1" applyBorder="1" applyAlignment="1">
      <alignment horizontal="center" vertical="center"/>
    </xf>
    <xf numFmtId="0" fontId="10" fillId="0" borderId="1" xfId="0" applyFont="1" applyFill="1" applyBorder="1" applyAlignment="1">
      <alignment horizontal="center" vertical="center" wrapText="1"/>
    </xf>
    <xf numFmtId="0" fontId="21" fillId="10" borderId="1" xfId="0" applyFont="1" applyFill="1" applyBorder="1" applyAlignment="1">
      <alignment horizontal="center" vertical="center" wrapText="1"/>
    </xf>
    <xf numFmtId="3" fontId="11" fillId="10" borderId="1" xfId="0" applyNumberFormat="1" applyFont="1" applyFill="1" applyBorder="1" applyAlignment="1">
      <alignment horizontal="right" vertical="center" wrapText="1"/>
    </xf>
    <xf numFmtId="0" fontId="10" fillId="9" borderId="4" xfId="0" applyFont="1" applyFill="1" applyBorder="1" applyAlignment="1">
      <alignment horizontal="center" vertical="center" wrapText="1"/>
    </xf>
    <xf numFmtId="0" fontId="9" fillId="9" borderId="1" xfId="0" applyFont="1" applyFill="1" applyBorder="1" applyAlignment="1">
      <alignment vertical="center" wrapText="1"/>
    </xf>
    <xf numFmtId="0" fontId="9" fillId="0" borderId="1" xfId="0" applyFont="1" applyFill="1" applyBorder="1" applyAlignment="1">
      <alignment horizontal="left" vertical="top" wrapText="1"/>
    </xf>
    <xf numFmtId="0" fontId="0" fillId="0" borderId="2" xfId="0" applyBorder="1" applyAlignment="1">
      <alignment vertical="center" wrapText="1"/>
    </xf>
    <xf numFmtId="0" fontId="8" fillId="10" borderId="1" xfId="0" applyFont="1" applyFill="1" applyBorder="1" applyAlignment="1">
      <alignment horizontal="center" vertical="center" wrapText="1"/>
    </xf>
    <xf numFmtId="0" fontId="8" fillId="9" borderId="12" xfId="0" applyFont="1" applyFill="1" applyBorder="1" applyAlignment="1">
      <alignment horizontal="center" vertical="center" wrapText="1"/>
    </xf>
    <xf numFmtId="3" fontId="0" fillId="0" borderId="4" xfId="0" applyNumberFormat="1" applyBorder="1" applyAlignment="1">
      <alignment horizontal="right" vertical="center"/>
    </xf>
    <xf numFmtId="0" fontId="0" fillId="0" borderId="0" xfId="0" applyBorder="1"/>
    <xf numFmtId="0" fontId="16" fillId="0" borderId="0" xfId="0" applyFont="1" applyFill="1" applyBorder="1"/>
    <xf numFmtId="3" fontId="0" fillId="0" borderId="0" xfId="0" applyNumberFormat="1"/>
    <xf numFmtId="3" fontId="12" fillId="0" borderId="0" xfId="0" applyNumberFormat="1" applyFont="1" applyBorder="1"/>
    <xf numFmtId="0" fontId="16" fillId="0" borderId="0" xfId="0" applyFont="1" applyBorder="1"/>
    <xf numFmtId="164" fontId="23" fillId="0" borderId="0" xfId="0" applyNumberFormat="1" applyFont="1" applyFill="1" applyBorder="1" applyAlignment="1">
      <alignment horizontal="right" vertical="center"/>
    </xf>
    <xf numFmtId="3" fontId="2" fillId="0" borderId="0" xfId="0" applyNumberFormat="1" applyFont="1" applyBorder="1"/>
    <xf numFmtId="0" fontId="16" fillId="0" borderId="2" xfId="0" applyFont="1" applyFill="1" applyBorder="1" applyAlignment="1">
      <alignment vertical="top" wrapText="1"/>
    </xf>
    <xf numFmtId="0" fontId="28" fillId="12" borderId="13" xfId="0" applyFont="1" applyFill="1" applyBorder="1" applyAlignment="1">
      <alignment horizontal="center"/>
    </xf>
    <xf numFmtId="0" fontId="30" fillId="5" borderId="1" xfId="2" applyNumberFormat="1" applyFont="1" applyFill="1" applyBorder="1" applyAlignment="1" applyProtection="1">
      <alignment horizontal="center" vertical="center" wrapText="1"/>
    </xf>
    <xf numFmtId="0" fontId="28" fillId="12" borderId="13" xfId="0" applyFont="1" applyFill="1" applyBorder="1"/>
    <xf numFmtId="0" fontId="29" fillId="0" borderId="13" xfId="0" applyFont="1" applyBorder="1" applyAlignment="1">
      <alignment horizontal="center" vertical="center"/>
    </xf>
    <xf numFmtId="3" fontId="19" fillId="0" borderId="1" xfId="0" applyNumberFormat="1" applyFont="1" applyBorder="1" applyAlignment="1">
      <alignment horizontal="center" vertical="center"/>
    </xf>
    <xf numFmtId="0" fontId="0" fillId="0" borderId="1" xfId="0" applyBorder="1" applyAlignment="1">
      <alignment horizontal="center" vertical="center" textRotation="255"/>
    </xf>
    <xf numFmtId="3" fontId="10" fillId="0" borderId="1" xfId="0" applyNumberFormat="1" applyFont="1" applyFill="1" applyBorder="1" applyAlignment="1">
      <alignment vertical="center" wrapText="1"/>
    </xf>
    <xf numFmtId="0" fontId="8" fillId="9" borderId="1"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3" fontId="10" fillId="0" borderId="4" xfId="0" applyNumberFormat="1" applyFont="1" applyFill="1" applyBorder="1" applyAlignment="1">
      <alignment horizontal="center" vertical="center" wrapText="1"/>
    </xf>
    <xf numFmtId="0" fontId="9" fillId="0" borderId="9" xfId="0" applyFont="1" applyFill="1" applyBorder="1" applyAlignment="1">
      <alignment vertical="center" wrapText="1"/>
    </xf>
    <xf numFmtId="0" fontId="0" fillId="0" borderId="1" xfId="0" applyBorder="1" applyAlignment="1">
      <alignment horizontal="center"/>
    </xf>
    <xf numFmtId="0" fontId="21" fillId="0" borderId="1" xfId="0" applyFont="1" applyFill="1" applyBorder="1" applyAlignment="1">
      <alignment horizontal="center" vertical="center" wrapText="1"/>
    </xf>
    <xf numFmtId="0" fontId="0" fillId="10" borderId="2" xfId="0" applyFill="1" applyBorder="1"/>
    <xf numFmtId="0" fontId="0" fillId="0" borderId="16" xfId="0" applyFill="1" applyBorder="1"/>
    <xf numFmtId="3" fontId="8" fillId="0" borderId="1" xfId="0" applyNumberFormat="1" applyFont="1" applyBorder="1" applyAlignment="1">
      <alignment horizontal="right" wrapText="1"/>
    </xf>
    <xf numFmtId="0" fontId="8" fillId="0" borderId="1" xfId="0" applyFont="1" applyBorder="1" applyAlignment="1">
      <alignment horizontal="right" vertical="center" wrapText="1"/>
    </xf>
    <xf numFmtId="0" fontId="8" fillId="0" borderId="1" xfId="0" applyFont="1" applyBorder="1" applyAlignment="1">
      <alignment horizontal="right" wrapText="1"/>
    </xf>
    <xf numFmtId="0" fontId="8" fillId="0" borderId="1" xfId="0" applyFont="1" applyBorder="1" applyAlignment="1">
      <alignment horizontal="right"/>
    </xf>
    <xf numFmtId="0" fontId="8" fillId="9" borderId="1" xfId="0" applyFont="1" applyFill="1" applyBorder="1" applyAlignment="1">
      <alignment horizontal="right" vertical="center" wrapText="1"/>
    </xf>
    <xf numFmtId="0" fontId="0" fillId="0" borderId="17" xfId="0" applyBorder="1"/>
    <xf numFmtId="3" fontId="11" fillId="9" borderId="1" xfId="0" applyNumberFormat="1" applyFont="1" applyFill="1" applyBorder="1" applyAlignment="1">
      <alignment horizontal="center" vertical="center" wrapText="1"/>
    </xf>
    <xf numFmtId="9" fontId="0" fillId="0" borderId="1" xfId="15" applyFont="1" applyBorder="1" applyAlignment="1">
      <alignment horizontal="center" vertical="center"/>
    </xf>
    <xf numFmtId="10" fontId="0" fillId="0" borderId="1" xfId="15" applyNumberFormat="1" applyFont="1" applyFill="1" applyBorder="1" applyAlignment="1">
      <alignment horizontal="center" vertical="center"/>
    </xf>
    <xf numFmtId="0" fontId="0" fillId="0" borderId="1" xfId="0" applyBorder="1" applyAlignment="1">
      <alignment horizontal="justify" vertical="center" wrapText="1"/>
    </xf>
    <xf numFmtId="10" fontId="9" fillId="0" borderId="2" xfId="15" applyNumberFormat="1" applyFont="1" applyFill="1" applyBorder="1" applyAlignment="1">
      <alignment horizontal="center" vertical="center"/>
    </xf>
    <xf numFmtId="9" fontId="11" fillId="9" borderId="1" xfId="15" applyFont="1" applyFill="1" applyBorder="1" applyAlignment="1">
      <alignment horizontal="center" vertical="center" wrapText="1"/>
    </xf>
    <xf numFmtId="3" fontId="0" fillId="0" borderId="4" xfId="0" applyNumberFormat="1" applyBorder="1" applyAlignment="1">
      <alignment horizontal="center" vertical="center"/>
    </xf>
    <xf numFmtId="3" fontId="11" fillId="0" borderId="1" xfId="0" applyNumberFormat="1" applyFont="1" applyFill="1" applyBorder="1" applyAlignment="1">
      <alignment horizontal="center" vertical="center" wrapText="1"/>
    </xf>
    <xf numFmtId="9" fontId="0" fillId="0" borderId="1" xfId="15" applyFont="1" applyFill="1"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9" fontId="0" fillId="0" borderId="1" xfId="0" applyNumberFormat="1" applyFont="1" applyBorder="1" applyAlignment="1">
      <alignment horizontal="center" vertical="center" wrapText="1"/>
    </xf>
    <xf numFmtId="0" fontId="0" fillId="0" borderId="0" xfId="0" applyFont="1" applyBorder="1" applyAlignment="1">
      <alignment horizontal="center" vertical="top" wrapText="1"/>
    </xf>
    <xf numFmtId="0" fontId="0" fillId="0" borderId="0" xfId="0" applyFont="1" applyBorder="1" applyAlignment="1">
      <alignment horizontal="center" vertical="center" wrapText="1"/>
    </xf>
    <xf numFmtId="0" fontId="8" fillId="0" borderId="0" xfId="0" applyFont="1" applyBorder="1" applyAlignment="1">
      <alignment horizontal="center" vertical="center" wrapText="1"/>
    </xf>
    <xf numFmtId="1" fontId="2" fillId="0" borderId="0" xfId="0" applyNumberFormat="1" applyFont="1" applyBorder="1" applyAlignment="1">
      <alignment horizontal="center" vertical="center"/>
    </xf>
    <xf numFmtId="1" fontId="0" fillId="0" borderId="0" xfId="0" applyNumberFormat="1" applyFont="1" applyBorder="1" applyAlignment="1">
      <alignment horizontal="center" vertical="center"/>
    </xf>
    <xf numFmtId="0" fontId="6" fillId="0" borderId="0" xfId="0" applyFont="1" applyFill="1" applyBorder="1" applyAlignment="1">
      <alignment vertical="center"/>
    </xf>
    <xf numFmtId="1" fontId="0" fillId="0" borderId="0" xfId="0" applyNumberFormat="1"/>
    <xf numFmtId="0" fontId="2" fillId="0" borderId="0" xfId="0" applyFont="1"/>
    <xf numFmtId="3" fontId="11" fillId="9" borderId="9" xfId="0" applyNumberFormat="1" applyFont="1" applyFill="1" applyBorder="1" applyAlignment="1">
      <alignment horizontal="right" vertical="center" wrapText="1"/>
    </xf>
    <xf numFmtId="0" fontId="19" fillId="14" borderId="1" xfId="0" applyFont="1" applyFill="1" applyBorder="1" applyAlignment="1">
      <alignment horizontal="center" vertical="center"/>
    </xf>
    <xf numFmtId="0" fontId="0" fillId="0" borderId="1" xfId="0" applyBorder="1" applyAlignment="1">
      <alignment horizontal="justify" vertical="top" wrapText="1"/>
    </xf>
    <xf numFmtId="0" fontId="9" fillId="0" borderId="2"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2" xfId="0" applyFont="1" applyFill="1" applyBorder="1" applyAlignment="1">
      <alignment horizontal="justify" vertical="center" wrapText="1"/>
    </xf>
    <xf numFmtId="9" fontId="9" fillId="0" borderId="2" xfId="0" applyNumberFormat="1" applyFont="1" applyFill="1" applyBorder="1" applyAlignment="1">
      <alignment horizontal="center" vertical="center" wrapText="1"/>
    </xf>
    <xf numFmtId="9" fontId="9" fillId="0" borderId="1" xfId="0" applyNumberFormat="1" applyFont="1" applyFill="1" applyBorder="1" applyAlignment="1">
      <alignment horizontal="center" vertical="center" wrapText="1"/>
    </xf>
    <xf numFmtId="3" fontId="19" fillId="0" borderId="18" xfId="0" applyNumberFormat="1" applyFont="1" applyBorder="1" applyAlignment="1">
      <alignment horizontal="center" vertical="center"/>
    </xf>
    <xf numFmtId="0" fontId="19" fillId="11" borderId="1" xfId="0" applyFont="1" applyFill="1" applyBorder="1" applyAlignment="1">
      <alignment horizontal="center" vertical="center"/>
    </xf>
    <xf numFmtId="3" fontId="19" fillId="11" borderId="1" xfId="0" applyNumberFormat="1" applyFont="1" applyFill="1" applyBorder="1" applyAlignment="1">
      <alignment horizontal="center" vertical="center"/>
    </xf>
    <xf numFmtId="3" fontId="19" fillId="0" borderId="4" xfId="0" applyNumberFormat="1" applyFont="1" applyBorder="1" applyAlignment="1">
      <alignment horizontal="center" vertical="center"/>
    </xf>
    <xf numFmtId="0" fontId="19" fillId="0" borderId="9" xfId="0" applyFont="1" applyFill="1" applyBorder="1" applyAlignment="1">
      <alignment horizontal="center" vertical="center"/>
    </xf>
    <xf numFmtId="165" fontId="19" fillId="0" borderId="4" xfId="0" applyNumberFormat="1" applyFont="1" applyFill="1" applyBorder="1" applyAlignment="1">
      <alignment horizontal="center" vertical="center"/>
    </xf>
    <xf numFmtId="37" fontId="0" fillId="0" borderId="1" xfId="1" applyNumberFormat="1" applyFont="1" applyBorder="1" applyAlignment="1">
      <alignment horizontal="center" vertical="center"/>
    </xf>
    <xf numFmtId="3" fontId="0" fillId="0" borderId="1" xfId="1" applyNumberFormat="1" applyFont="1" applyBorder="1" applyAlignment="1">
      <alignment horizontal="center" vertical="center"/>
    </xf>
    <xf numFmtId="165" fontId="19" fillId="0" borderId="1" xfId="0" applyNumberFormat="1" applyFont="1" applyBorder="1" applyAlignment="1">
      <alignment horizontal="center" vertical="center"/>
    </xf>
    <xf numFmtId="0" fontId="8" fillId="0" borderId="1" xfId="0" applyFont="1" applyBorder="1" applyAlignment="1">
      <alignment vertical="top" wrapText="1"/>
    </xf>
    <xf numFmtId="0" fontId="8" fillId="0" borderId="1" xfId="0" applyFont="1" applyBorder="1" applyAlignment="1">
      <alignment horizontal="justify" vertical="top"/>
    </xf>
    <xf numFmtId="0" fontId="8" fillId="0" borderId="1" xfId="0" applyFont="1" applyBorder="1" applyAlignment="1">
      <alignment wrapText="1"/>
    </xf>
    <xf numFmtId="0" fontId="8" fillId="0" borderId="1" xfId="0" applyFont="1" applyBorder="1" applyAlignment="1">
      <alignment vertical="center" wrapText="1"/>
    </xf>
    <xf numFmtId="165" fontId="0" fillId="0" borderId="4" xfId="1" applyNumberFormat="1" applyFont="1" applyBorder="1" applyAlignment="1">
      <alignment horizontal="center" vertical="center"/>
    </xf>
    <xf numFmtId="0" fontId="35" fillId="15" borderId="24" xfId="0" applyFont="1" applyFill="1" applyBorder="1" applyAlignment="1">
      <alignment horizontal="center" vertical="center" wrapText="1"/>
    </xf>
    <xf numFmtId="0" fontId="37" fillId="0" borderId="24" xfId="0" applyFont="1" applyBorder="1" applyAlignment="1">
      <alignment vertical="center" wrapText="1"/>
    </xf>
    <xf numFmtId="0" fontId="38" fillId="0" borderId="24" xfId="0" applyFont="1" applyBorder="1" applyAlignment="1">
      <alignment vertical="center" wrapText="1"/>
    </xf>
    <xf numFmtId="0" fontId="37" fillId="0" borderId="27" xfId="0" applyFont="1" applyBorder="1" applyAlignment="1">
      <alignment horizontal="center" vertical="center" wrapText="1"/>
    </xf>
    <xf numFmtId="3" fontId="37" fillId="0" borderId="27" xfId="0" applyNumberFormat="1" applyFont="1" applyBorder="1" applyAlignment="1">
      <alignment horizontal="center" vertical="center"/>
    </xf>
    <xf numFmtId="0" fontId="0" fillId="0" borderId="0" xfId="0" applyAlignment="1">
      <alignment vertical="center" wrapText="1"/>
    </xf>
    <xf numFmtId="0" fontId="37" fillId="0" borderId="27" xfId="0" applyFont="1" applyBorder="1" applyAlignment="1">
      <alignment vertical="center" wrapText="1"/>
    </xf>
    <xf numFmtId="0" fontId="37" fillId="0" borderId="22" xfId="0" applyFont="1" applyBorder="1" applyAlignment="1">
      <alignment horizontal="center" vertical="center"/>
    </xf>
    <xf numFmtId="0" fontId="37" fillId="0" borderId="24" xfId="0" applyFont="1" applyBorder="1" applyAlignment="1">
      <alignment horizontal="center" vertical="center"/>
    </xf>
    <xf numFmtId="9" fontId="37" fillId="0" borderId="24" xfId="0" applyNumberFormat="1" applyFont="1" applyBorder="1" applyAlignment="1">
      <alignment horizontal="center" vertical="center"/>
    </xf>
    <xf numFmtId="9" fontId="38" fillId="0" borderId="24" xfId="0" applyNumberFormat="1" applyFont="1" applyBorder="1" applyAlignment="1">
      <alignment horizontal="center" vertical="center"/>
    </xf>
    <xf numFmtId="0" fontId="38" fillId="0" borderId="24" xfId="0" applyFont="1" applyBorder="1" applyAlignment="1">
      <alignment horizontal="justify" vertical="center" wrapText="1"/>
    </xf>
    <xf numFmtId="10" fontId="38" fillId="0" borderId="24" xfId="0" applyNumberFormat="1" applyFont="1" applyBorder="1" applyAlignment="1">
      <alignment horizontal="center" vertical="center"/>
    </xf>
    <xf numFmtId="0" fontId="35" fillId="15" borderId="19" xfId="0" applyFont="1" applyFill="1" applyBorder="1" applyAlignment="1">
      <alignment horizontal="center" vertical="center" wrapText="1"/>
    </xf>
    <xf numFmtId="9" fontId="38" fillId="0" borderId="19" xfId="0" applyNumberFormat="1" applyFont="1" applyBorder="1" applyAlignment="1">
      <alignment horizontal="center" vertical="center"/>
    </xf>
    <xf numFmtId="1" fontId="38" fillId="0" borderId="19" xfId="0" applyNumberFormat="1" applyFont="1" applyBorder="1" applyAlignment="1">
      <alignment horizontal="center" vertical="center"/>
    </xf>
    <xf numFmtId="0" fontId="37" fillId="0" borderId="24" xfId="0" applyFont="1" applyBorder="1" applyAlignment="1">
      <alignment horizontal="justify" vertical="center" wrapText="1"/>
    </xf>
    <xf numFmtId="0" fontId="8" fillId="0" borderId="24" xfId="0" applyFont="1" applyBorder="1" applyAlignment="1">
      <alignment horizontal="center" vertical="center"/>
    </xf>
    <xf numFmtId="0" fontId="8" fillId="0" borderId="24" xfId="0" applyFont="1" applyBorder="1" applyAlignment="1">
      <alignment horizontal="center" vertical="center" wrapText="1"/>
    </xf>
    <xf numFmtId="0" fontId="8" fillId="0" borderId="24" xfId="0" applyFont="1" applyBorder="1" applyAlignment="1">
      <alignment vertical="center" wrapText="1"/>
    </xf>
    <xf numFmtId="0" fontId="38" fillId="0" borderId="27" xfId="0" applyFont="1" applyBorder="1" applyAlignment="1">
      <alignment vertical="center" wrapText="1"/>
    </xf>
    <xf numFmtId="0" fontId="8" fillId="0" borderId="27" xfId="0" applyFont="1" applyBorder="1" applyAlignment="1">
      <alignment horizontal="center" vertical="center" wrapText="1"/>
    </xf>
    <xf numFmtId="0" fontId="38" fillId="0" borderId="22" xfId="0" applyFont="1" applyBorder="1" applyAlignment="1">
      <alignment vertical="center" wrapText="1"/>
    </xf>
    <xf numFmtId="0" fontId="8" fillId="0" borderId="22" xfId="0" applyFont="1" applyBorder="1" applyAlignment="1">
      <alignment horizontal="center" vertical="center" wrapText="1"/>
    </xf>
    <xf numFmtId="0" fontId="37" fillId="16" borderId="0" xfId="0" applyFont="1" applyFill="1" applyBorder="1" applyAlignment="1">
      <alignment horizontal="center" vertical="center" wrapText="1"/>
    </xf>
    <xf numFmtId="9" fontId="38" fillId="0" borderId="0" xfId="0" applyNumberFormat="1" applyFont="1" applyBorder="1" applyAlignment="1">
      <alignment horizontal="center" vertical="center"/>
    </xf>
    <xf numFmtId="9" fontId="38" fillId="0" borderId="0" xfId="0" applyNumberFormat="1" applyFont="1" applyBorder="1" applyAlignment="1">
      <alignment vertical="center"/>
    </xf>
    <xf numFmtId="0" fontId="37" fillId="16" borderId="19" xfId="0" applyFont="1" applyFill="1" applyBorder="1" applyAlignment="1">
      <alignment horizontal="center" vertical="center" wrapText="1"/>
    </xf>
    <xf numFmtId="0" fontId="37" fillId="16" borderId="19" xfId="0" applyFont="1" applyFill="1" applyBorder="1" applyAlignment="1">
      <alignment vertical="center" wrapText="1"/>
    </xf>
    <xf numFmtId="9" fontId="38" fillId="0" borderId="19" xfId="0" applyNumberFormat="1" applyFont="1" applyBorder="1" applyAlignment="1">
      <alignment vertical="center"/>
    </xf>
    <xf numFmtId="0" fontId="37" fillId="17" borderId="24" xfId="0" applyFont="1" applyFill="1" applyBorder="1" applyAlignment="1">
      <alignment horizontal="center" vertical="center"/>
    </xf>
    <xf numFmtId="0" fontId="38" fillId="0" borderId="24" xfId="0" applyFont="1" applyBorder="1" applyAlignment="1">
      <alignment horizontal="center" vertical="center"/>
    </xf>
    <xf numFmtId="9" fontId="38" fillId="0" borderId="27" xfId="0" applyNumberFormat="1" applyFont="1" applyBorder="1" applyAlignment="1">
      <alignment horizontal="center" vertical="center"/>
    </xf>
    <xf numFmtId="9" fontId="38" fillId="0" borderId="24" xfId="0" applyNumberFormat="1" applyFont="1" applyBorder="1" applyAlignment="1">
      <alignment horizontal="center" vertical="center" wrapText="1"/>
    </xf>
    <xf numFmtId="9" fontId="38" fillId="0" borderId="23" xfId="0" applyNumberFormat="1" applyFont="1" applyBorder="1" applyAlignment="1">
      <alignment horizontal="center" vertical="center"/>
    </xf>
    <xf numFmtId="0" fontId="38" fillId="0" borderId="22" xfId="0" applyFont="1" applyBorder="1" applyAlignment="1">
      <alignment horizontal="center" vertical="center" wrapText="1"/>
    </xf>
    <xf numFmtId="0" fontId="38" fillId="0" borderId="22" xfId="0" applyFont="1" applyBorder="1" applyAlignment="1">
      <alignment horizontal="center" vertical="center"/>
    </xf>
    <xf numFmtId="0" fontId="38" fillId="0" borderId="24" xfId="0" applyFont="1" applyBorder="1" applyAlignment="1">
      <alignment horizontal="center" vertical="center" wrapText="1"/>
    </xf>
    <xf numFmtId="0" fontId="35" fillId="18" borderId="24" xfId="0" applyFont="1" applyFill="1" applyBorder="1" applyAlignment="1">
      <alignment horizontal="center" vertical="center" wrapText="1"/>
    </xf>
    <xf numFmtId="0" fontId="37" fillId="0" borderId="24" xfId="0" applyFont="1" applyBorder="1" applyAlignment="1">
      <alignment horizontal="center" vertical="center" wrapText="1"/>
    </xf>
    <xf numFmtId="9" fontId="38" fillId="0" borderId="24" xfId="0" applyNumberFormat="1" applyFont="1" applyBorder="1" applyAlignment="1">
      <alignment horizontal="right" vertical="center" wrapText="1"/>
    </xf>
    <xf numFmtId="0" fontId="35" fillId="19" borderId="24" xfId="0" applyFont="1" applyFill="1" applyBorder="1" applyAlignment="1">
      <alignment horizontal="center" vertical="center" wrapText="1"/>
    </xf>
    <xf numFmtId="9" fontId="37" fillId="0" borderId="24" xfId="0" applyNumberFormat="1" applyFont="1" applyBorder="1" applyAlignment="1">
      <alignment horizontal="center" vertical="center" wrapText="1"/>
    </xf>
    <xf numFmtId="3" fontId="37" fillId="0" borderId="24" xfId="0" applyNumberFormat="1" applyFont="1" applyBorder="1" applyAlignment="1">
      <alignment horizontal="center" vertical="center" wrapText="1"/>
    </xf>
    <xf numFmtId="3" fontId="22" fillId="0" borderId="24" xfId="0" applyNumberFormat="1" applyFont="1" applyBorder="1" applyAlignment="1">
      <alignment horizontal="center" vertical="center" wrapText="1"/>
    </xf>
    <xf numFmtId="9" fontId="8" fillId="0" borderId="24" xfId="0" applyNumberFormat="1" applyFont="1" applyBorder="1" applyAlignment="1">
      <alignment horizontal="center" vertical="center"/>
    </xf>
    <xf numFmtId="0" fontId="42" fillId="0" borderId="24" xfId="0" applyFont="1" applyBorder="1" applyAlignment="1">
      <alignment vertical="center" wrapText="1"/>
    </xf>
    <xf numFmtId="6" fontId="37" fillId="0" borderId="24" xfId="0" applyNumberFormat="1" applyFont="1" applyBorder="1" applyAlignment="1">
      <alignment horizontal="center" vertical="center" wrapText="1"/>
    </xf>
    <xf numFmtId="0" fontId="37" fillId="0" borderId="22" xfId="0" applyFont="1" applyBorder="1" applyAlignment="1">
      <alignment vertical="center" wrapText="1"/>
    </xf>
    <xf numFmtId="0" fontId="38" fillId="20" borderId="24" xfId="0" applyFont="1" applyFill="1" applyBorder="1" applyAlignment="1">
      <alignment vertical="center" wrapText="1"/>
    </xf>
    <xf numFmtId="0" fontId="0" fillId="0" borderId="1" xfId="0" applyFont="1" applyBorder="1" applyAlignment="1">
      <alignment horizontal="justify" vertical="top" wrapText="1"/>
    </xf>
    <xf numFmtId="0" fontId="33" fillId="12" borderId="1" xfId="0" applyFont="1" applyFill="1" applyBorder="1" applyAlignment="1">
      <alignment horizontal="center" vertical="center"/>
    </xf>
    <xf numFmtId="0" fontId="5" fillId="13" borderId="1" xfId="0" applyFont="1" applyFill="1" applyBorder="1" applyAlignment="1">
      <alignment horizontal="center" vertical="center"/>
    </xf>
    <xf numFmtId="0" fontId="33" fillId="12" borderId="1" xfId="0" applyFont="1" applyFill="1" applyBorder="1" applyAlignment="1">
      <alignment horizontal="center" vertical="center" wrapText="1"/>
    </xf>
    <xf numFmtId="0" fontId="0" fillId="0" borderId="0" xfId="0" applyAlignment="1">
      <alignment wrapText="1"/>
    </xf>
    <xf numFmtId="3" fontId="0" fillId="0" borderId="0" xfId="0" applyNumberFormat="1" applyBorder="1" applyAlignment="1">
      <alignment horizontal="center" vertical="center"/>
    </xf>
    <xf numFmtId="9" fontId="0" fillId="0" borderId="0" xfId="15" applyFont="1" applyBorder="1" applyAlignment="1">
      <alignment horizontal="center" vertical="center"/>
    </xf>
    <xf numFmtId="10" fontId="0" fillId="0" borderId="0" xfId="15" applyNumberFormat="1" applyFont="1" applyBorder="1" applyAlignment="1">
      <alignment horizontal="center" vertical="center"/>
    </xf>
    <xf numFmtId="10" fontId="0" fillId="0" borderId="1" xfId="0" applyNumberFormat="1" applyBorder="1" applyAlignment="1">
      <alignment horizontal="center" vertical="center"/>
    </xf>
    <xf numFmtId="10" fontId="33" fillId="12" borderId="1" xfId="0" applyNumberFormat="1" applyFont="1" applyFill="1" applyBorder="1" applyAlignment="1">
      <alignment horizontal="center" vertical="center"/>
    </xf>
    <xf numFmtId="0" fontId="33" fillId="12" borderId="35" xfId="0" applyFont="1" applyFill="1" applyBorder="1" applyAlignment="1">
      <alignment horizontal="center" vertical="center"/>
    </xf>
    <xf numFmtId="10" fontId="34" fillId="12" borderId="37" xfId="0" applyNumberFormat="1" applyFont="1" applyFill="1" applyBorder="1" applyAlignment="1">
      <alignment horizontal="center" vertical="center"/>
    </xf>
    <xf numFmtId="10" fontId="34" fillId="12" borderId="38" xfId="0" applyNumberFormat="1" applyFont="1" applyFill="1" applyBorder="1" applyAlignment="1">
      <alignment horizontal="center" vertical="center"/>
    </xf>
    <xf numFmtId="10" fontId="0" fillId="0" borderId="35" xfId="0" applyNumberFormat="1" applyBorder="1" applyAlignment="1">
      <alignment horizontal="center" vertical="center"/>
    </xf>
    <xf numFmtId="10" fontId="9" fillId="0" borderId="1" xfId="15" applyNumberFormat="1" applyFont="1" applyFill="1" applyBorder="1" applyAlignment="1">
      <alignment horizontal="center" vertical="center"/>
    </xf>
    <xf numFmtId="10" fontId="33" fillId="12" borderId="1" xfId="15" applyNumberFormat="1" applyFont="1" applyFill="1" applyBorder="1" applyAlignment="1">
      <alignment horizontal="center" vertical="center"/>
    </xf>
    <xf numFmtId="10" fontId="9" fillId="0" borderId="19" xfId="15" applyNumberFormat="1" applyFont="1" applyFill="1" applyBorder="1" applyAlignment="1">
      <alignment horizontal="center" vertical="center"/>
    </xf>
    <xf numFmtId="0" fontId="9" fillId="0" borderId="1" xfId="0" applyFont="1" applyFill="1" applyBorder="1" applyAlignment="1">
      <alignment horizontal="justify" vertical="center" wrapText="1"/>
    </xf>
    <xf numFmtId="10" fontId="0" fillId="0" borderId="1" xfId="15" applyNumberFormat="1" applyFont="1" applyBorder="1" applyAlignment="1">
      <alignment horizontal="center" vertical="center"/>
    </xf>
    <xf numFmtId="0" fontId="9" fillId="0" borderId="1" xfId="0" applyFont="1" applyFill="1" applyBorder="1" applyAlignment="1">
      <alignment horizontal="justify" vertical="top" wrapText="1"/>
    </xf>
    <xf numFmtId="10" fontId="0" fillId="0" borderId="2" xfId="0" applyNumberFormat="1" applyBorder="1" applyAlignment="1">
      <alignment horizontal="center" vertical="center"/>
    </xf>
    <xf numFmtId="10" fontId="0" fillId="0" borderId="2" xfId="15" applyNumberFormat="1" applyFont="1" applyBorder="1" applyAlignment="1">
      <alignment horizontal="center" vertical="center"/>
    </xf>
    <xf numFmtId="0" fontId="33" fillId="12" borderId="41" xfId="0" applyFont="1" applyFill="1" applyBorder="1" applyAlignment="1">
      <alignment vertical="center"/>
    </xf>
    <xf numFmtId="10" fontId="9" fillId="0" borderId="2" xfId="15" applyNumberFormat="1" applyFont="1" applyFill="1" applyBorder="1" applyAlignment="1">
      <alignment horizontal="center" vertical="center"/>
    </xf>
    <xf numFmtId="3" fontId="10" fillId="0" borderId="1" xfId="0" applyNumberFormat="1" applyFont="1" applyFill="1" applyBorder="1" applyAlignment="1">
      <alignment horizontal="center" vertical="center" wrapText="1"/>
    </xf>
    <xf numFmtId="10" fontId="9" fillId="0" borderId="2" xfId="15" applyNumberFormat="1" applyFont="1" applyFill="1" applyBorder="1" applyAlignment="1">
      <alignment horizontal="center" vertical="center"/>
    </xf>
    <xf numFmtId="10" fontId="9" fillId="0" borderId="2" xfId="15" applyNumberFormat="1" applyFont="1" applyFill="1" applyBorder="1" applyAlignment="1">
      <alignment horizontal="center" vertical="center"/>
    </xf>
    <xf numFmtId="0" fontId="33" fillId="12" borderId="1" xfId="0" applyFont="1" applyFill="1" applyBorder="1" applyAlignment="1">
      <alignment horizontal="center" vertical="center" wrapText="1"/>
    </xf>
    <xf numFmtId="10" fontId="9" fillId="0" borderId="1" xfId="15" applyNumberFormat="1" applyFont="1" applyFill="1" applyBorder="1" applyAlignment="1">
      <alignment horizontal="center" vertical="center"/>
    </xf>
    <xf numFmtId="0" fontId="33" fillId="12" borderId="1" xfId="0" applyFont="1" applyFill="1" applyBorder="1" applyAlignment="1">
      <alignment horizontal="center"/>
    </xf>
    <xf numFmtId="10" fontId="45" fillId="0" borderId="1" xfId="15" applyNumberFormat="1" applyFont="1" applyFill="1" applyBorder="1" applyAlignment="1">
      <alignment horizontal="center" vertical="center"/>
    </xf>
    <xf numFmtId="0" fontId="33" fillId="0" borderId="0" xfId="0" applyFont="1" applyFill="1" applyBorder="1" applyAlignment="1">
      <alignment horizontal="center" vertical="center" wrapText="1"/>
    </xf>
    <xf numFmtId="0" fontId="0" fillId="0" borderId="0" xfId="0" applyFill="1" applyBorder="1"/>
    <xf numFmtId="0" fontId="0" fillId="0" borderId="1" xfId="0" applyFont="1" applyBorder="1" applyAlignment="1">
      <alignment horizontal="center" vertical="center" wrapText="1"/>
    </xf>
    <xf numFmtId="10" fontId="9" fillId="0" borderId="1" xfId="15" applyNumberFormat="1" applyFont="1" applyFill="1" applyBorder="1" applyAlignment="1">
      <alignment horizontal="center" vertical="center"/>
    </xf>
    <xf numFmtId="9" fontId="0" fillId="0" borderId="1" xfId="0" applyNumberFormat="1" applyBorder="1" applyAlignment="1">
      <alignment horizontal="center" vertical="center"/>
    </xf>
    <xf numFmtId="0" fontId="0" fillId="10" borderId="1" xfId="0" applyFill="1" applyBorder="1" applyAlignment="1">
      <alignment horizontal="center" vertical="center"/>
    </xf>
    <xf numFmtId="3" fontId="10" fillId="9" borderId="9" xfId="0" applyNumberFormat="1" applyFont="1" applyFill="1" applyBorder="1" applyAlignment="1">
      <alignment horizontal="center" vertical="center" wrapText="1"/>
    </xf>
    <xf numFmtId="9" fontId="0" fillId="0" borderId="0" xfId="15" applyNumberFormat="1" applyFont="1" applyBorder="1" applyAlignment="1">
      <alignment horizontal="center" vertical="center"/>
    </xf>
    <xf numFmtId="10" fontId="9" fillId="0" borderId="2" xfId="15" applyNumberFormat="1" applyFont="1" applyFill="1" applyBorder="1" applyAlignment="1">
      <alignment horizontal="center" vertical="center"/>
    </xf>
    <xf numFmtId="3" fontId="0" fillId="0" borderId="9" xfId="0" applyNumberFormat="1" applyBorder="1" applyAlignment="1">
      <alignment horizontal="center" vertical="center"/>
    </xf>
    <xf numFmtId="0" fontId="9" fillId="0"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33" fillId="12" borderId="1" xfId="0" applyFont="1" applyFill="1" applyBorder="1" applyAlignment="1">
      <alignment horizontal="center" vertical="center"/>
    </xf>
    <xf numFmtId="0" fontId="9" fillId="0" borderId="1" xfId="0" applyFont="1" applyFill="1" applyBorder="1" applyAlignment="1">
      <alignment horizontal="justify" vertical="center" wrapText="1"/>
    </xf>
    <xf numFmtId="0" fontId="0" fillId="0" borderId="1" xfId="0" applyBorder="1" applyAlignment="1">
      <alignment horizontal="center" vertical="center"/>
    </xf>
    <xf numFmtId="0" fontId="29" fillId="0" borderId="13" xfId="0" applyFont="1" applyBorder="1" applyAlignment="1">
      <alignment horizontal="center" vertical="center"/>
    </xf>
    <xf numFmtId="0" fontId="30" fillId="5" borderId="1" xfId="2" applyNumberFormat="1" applyFont="1" applyFill="1" applyBorder="1" applyAlignment="1" applyProtection="1">
      <alignment horizontal="center" vertical="center" wrapText="1"/>
    </xf>
    <xf numFmtId="3" fontId="11" fillId="9" borderId="9" xfId="0" applyNumberFormat="1" applyFont="1" applyFill="1" applyBorder="1" applyAlignment="1">
      <alignment horizontal="right" vertical="center" wrapText="1"/>
    </xf>
    <xf numFmtId="0" fontId="0" fillId="0" borderId="1" xfId="0" applyBorder="1" applyAlignment="1">
      <alignment horizontal="justify" vertical="center" wrapText="1"/>
    </xf>
    <xf numFmtId="0" fontId="9" fillId="22" borderId="1" xfId="0" applyFont="1" applyFill="1" applyBorder="1" applyAlignment="1">
      <alignment vertical="center" wrapText="1"/>
    </xf>
    <xf numFmtId="0" fontId="0" fillId="0" borderId="0" xfId="0" applyAlignment="1">
      <alignment horizontal="center" vertical="center" wrapText="1"/>
    </xf>
    <xf numFmtId="3" fontId="0" fillId="0" borderId="1" xfId="0" applyNumberFormat="1" applyBorder="1"/>
    <xf numFmtId="0" fontId="33" fillId="12" borderId="0" xfId="0" applyFont="1" applyFill="1" applyBorder="1" applyAlignment="1">
      <alignment horizontal="center"/>
    </xf>
    <xf numFmtId="0" fontId="33" fillId="12" borderId="0" xfId="0" applyFont="1" applyFill="1" applyBorder="1"/>
    <xf numFmtId="3" fontId="0" fillId="0" borderId="0" xfId="0" applyNumberFormat="1" applyBorder="1"/>
    <xf numFmtId="3" fontId="34" fillId="12" borderId="0" xfId="0" applyNumberFormat="1" applyFont="1" applyFill="1" applyBorder="1"/>
    <xf numFmtId="3" fontId="33" fillId="12" borderId="1" xfId="0" applyNumberFormat="1" applyFont="1" applyFill="1" applyBorder="1" applyAlignment="1">
      <alignment horizontal="center" vertical="center"/>
    </xf>
    <xf numFmtId="0" fontId="0" fillId="0" borderId="1" xfId="0" applyBorder="1" applyAlignment="1">
      <alignment horizontal="center" vertical="center"/>
    </xf>
    <xf numFmtId="0" fontId="8" fillId="9" borderId="1"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10" fontId="9" fillId="0" borderId="2" xfId="15" applyNumberFormat="1" applyFont="1" applyFill="1" applyBorder="1" applyAlignment="1">
      <alignment horizontal="center" vertical="center"/>
    </xf>
    <xf numFmtId="0" fontId="33" fillId="12" borderId="1" xfId="0" applyFont="1" applyFill="1" applyBorder="1" applyAlignment="1">
      <alignment horizontal="center" vertical="center"/>
    </xf>
    <xf numFmtId="0" fontId="33" fillId="12" borderId="1" xfId="0" applyFont="1" applyFill="1" applyBorder="1"/>
    <xf numFmtId="3" fontId="33" fillId="12" borderId="1" xfId="0" applyNumberFormat="1" applyFont="1" applyFill="1" applyBorder="1"/>
    <xf numFmtId="0" fontId="9"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9" fontId="0" fillId="0" borderId="4" xfId="15" applyFont="1" applyBorder="1" applyAlignment="1">
      <alignment horizontal="center" vertical="center"/>
    </xf>
    <xf numFmtId="0" fontId="32" fillId="0" borderId="1" xfId="0" applyFont="1" applyBorder="1" applyAlignment="1">
      <alignment horizontal="center" vertical="center" wrapText="1"/>
    </xf>
    <xf numFmtId="0" fontId="32" fillId="0" borderId="1" xfId="0" applyFont="1" applyBorder="1" applyAlignment="1">
      <alignment horizontal="justify" vertical="center" wrapText="1"/>
    </xf>
    <xf numFmtId="0" fontId="16" fillId="0" borderId="1" xfId="0" applyFont="1" applyFill="1" applyBorder="1" applyAlignment="1">
      <alignment horizontal="justify" vertical="center" wrapText="1"/>
    </xf>
    <xf numFmtId="0" fontId="16"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0" fillId="0" borderId="1" xfId="0" applyBorder="1" applyAlignment="1">
      <alignment horizontal="center" vertical="center"/>
    </xf>
    <xf numFmtId="0" fontId="9" fillId="0" borderId="9"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10" fontId="9" fillId="0" borderId="2" xfId="15" applyNumberFormat="1" applyFont="1" applyFill="1" applyBorder="1" applyAlignment="1">
      <alignment horizontal="center" vertical="center"/>
    </xf>
    <xf numFmtId="0" fontId="0" fillId="0" borderId="1" xfId="0" applyBorder="1" applyAlignment="1">
      <alignment horizontal="justify" vertical="center" wrapText="1"/>
    </xf>
    <xf numFmtId="0" fontId="33" fillId="12" borderId="1" xfId="0" applyFont="1" applyFill="1" applyBorder="1" applyAlignment="1">
      <alignment horizontal="center" vertical="center"/>
    </xf>
    <xf numFmtId="0" fontId="9" fillId="0" borderId="1" xfId="0" applyFont="1" applyFill="1" applyBorder="1" applyAlignment="1">
      <alignment horizontal="justify" vertical="center" wrapText="1"/>
    </xf>
    <xf numFmtId="9" fontId="0" fillId="0" borderId="1" xfId="15" applyFont="1" applyBorder="1" applyAlignment="1">
      <alignment horizontal="center" vertical="center"/>
    </xf>
    <xf numFmtId="0" fontId="8" fillId="0" borderId="1" xfId="0" applyFont="1" applyBorder="1" applyAlignment="1">
      <alignment horizontal="justify" vertical="center" wrapText="1"/>
    </xf>
    <xf numFmtId="0" fontId="0" fillId="0" borderId="4" xfId="0" applyBorder="1" applyAlignment="1">
      <alignment horizontal="justify" vertical="top" wrapText="1"/>
    </xf>
    <xf numFmtId="0" fontId="8" fillId="9" borderId="1" xfId="0" applyFont="1" applyFill="1" applyBorder="1" applyAlignment="1">
      <alignment horizontal="center" vertical="center" wrapText="1"/>
    </xf>
    <xf numFmtId="10" fontId="9" fillId="0" borderId="2" xfId="15" applyNumberFormat="1" applyFont="1" applyFill="1" applyBorder="1" applyAlignment="1">
      <alignment horizontal="center" vertical="center"/>
    </xf>
    <xf numFmtId="0" fontId="33" fillId="12" borderId="1" xfId="0" applyFont="1" applyFill="1" applyBorder="1" applyAlignment="1">
      <alignment horizontal="center" vertical="center"/>
    </xf>
    <xf numFmtId="3" fontId="19" fillId="0" borderId="1" xfId="0" applyNumberFormat="1" applyFont="1" applyFill="1" applyBorder="1" applyAlignment="1">
      <alignment horizontal="center" vertical="center"/>
    </xf>
    <xf numFmtId="0" fontId="0" fillId="0" borderId="1" xfId="0" applyFill="1" applyBorder="1" applyAlignment="1">
      <alignment horizontal="justify"/>
    </xf>
    <xf numFmtId="0" fontId="0" fillId="6" borderId="0" xfId="0" applyFill="1"/>
    <xf numFmtId="3" fontId="0" fillId="6" borderId="0" xfId="0" applyNumberFormat="1" applyFill="1"/>
    <xf numFmtId="3" fontId="0" fillId="0" borderId="0" xfId="0" applyNumberFormat="1" applyFill="1"/>
    <xf numFmtId="0" fontId="8" fillId="9" borderId="0" xfId="0" applyFont="1" applyFill="1" applyBorder="1" applyAlignment="1">
      <alignment horizontal="center" vertical="center" wrapText="1"/>
    </xf>
    <xf numFmtId="0" fontId="9" fillId="0" borderId="0" xfId="0" applyFont="1"/>
    <xf numFmtId="0" fontId="9" fillId="0" borderId="1" xfId="0" applyFont="1" applyFill="1" applyBorder="1" applyAlignment="1">
      <alignment horizontal="center" vertical="center"/>
    </xf>
    <xf numFmtId="0" fontId="9" fillId="0" borderId="0" xfId="0" applyFont="1" applyFill="1" applyBorder="1" applyAlignment="1">
      <alignment vertical="center" wrapText="1"/>
    </xf>
    <xf numFmtId="0" fontId="8" fillId="9" borderId="1" xfId="0" applyFont="1" applyFill="1" applyBorder="1" applyAlignment="1">
      <alignment horizontal="center" vertical="center" wrapText="1"/>
    </xf>
    <xf numFmtId="10" fontId="9" fillId="0" borderId="2" xfId="15" applyNumberFormat="1" applyFont="1" applyFill="1" applyBorder="1" applyAlignment="1">
      <alignment horizontal="center" vertical="center"/>
    </xf>
    <xf numFmtId="10" fontId="9" fillId="0" borderId="1" xfId="15" applyNumberFormat="1" applyFont="1" applyFill="1" applyBorder="1" applyAlignment="1">
      <alignment horizontal="center" vertical="center"/>
    </xf>
    <xf numFmtId="0" fontId="0" fillId="0" borderId="1" xfId="0" applyBorder="1" applyAlignment="1">
      <alignment horizontal="justify" wrapText="1"/>
    </xf>
    <xf numFmtId="9" fontId="9" fillId="0" borderId="2" xfId="15" applyFont="1" applyFill="1" applyBorder="1" applyAlignment="1">
      <alignment horizontal="center" vertical="center"/>
    </xf>
    <xf numFmtId="0" fontId="33" fillId="12" borderId="9" xfId="0" applyFont="1" applyFill="1" applyBorder="1" applyAlignment="1">
      <alignment horizontal="center" vertical="center"/>
    </xf>
    <xf numFmtId="9" fontId="0" fillId="0" borderId="0" xfId="15" applyFont="1"/>
    <xf numFmtId="0" fontId="0" fillId="0" borderId="9" xfId="0" applyFill="1" applyBorder="1"/>
    <xf numFmtId="0" fontId="0" fillId="0" borderId="1" xfId="0" applyBorder="1" applyAlignment="1">
      <alignment horizontal="center" vertical="center"/>
    </xf>
    <xf numFmtId="0" fontId="9" fillId="0"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33" fillId="12" borderId="1" xfId="0" applyFont="1" applyFill="1" applyBorder="1" applyAlignment="1">
      <alignment horizontal="center"/>
    </xf>
    <xf numFmtId="10" fontId="9" fillId="0" borderId="2" xfId="15" applyNumberFormat="1" applyFont="1" applyFill="1" applyBorder="1" applyAlignment="1">
      <alignment horizontal="center" vertical="center"/>
    </xf>
    <xf numFmtId="0" fontId="33" fillId="12" borderId="1" xfId="0" applyFont="1" applyFill="1" applyBorder="1" applyAlignment="1">
      <alignment horizontal="center" vertical="center" wrapText="1"/>
    </xf>
    <xf numFmtId="10" fontId="9" fillId="0" borderId="1" xfId="15" applyNumberFormat="1" applyFont="1" applyFill="1" applyBorder="1" applyAlignment="1">
      <alignment horizontal="center" vertical="center"/>
    </xf>
    <xf numFmtId="9" fontId="9" fillId="0" borderId="1" xfId="0" applyNumberFormat="1" applyFont="1" applyFill="1" applyBorder="1" applyAlignment="1">
      <alignment horizontal="center" vertical="center" wrapText="1"/>
    </xf>
    <xf numFmtId="0" fontId="33" fillId="12" borderId="1" xfId="0" applyFont="1" applyFill="1" applyBorder="1" applyAlignment="1">
      <alignment horizontal="center" vertical="center"/>
    </xf>
    <xf numFmtId="3" fontId="11" fillId="9" borderId="2" xfId="0" applyNumberFormat="1" applyFont="1" applyFill="1" applyBorder="1" applyAlignment="1">
      <alignment vertical="center" wrapText="1"/>
    </xf>
    <xf numFmtId="3" fontId="11" fillId="9" borderId="1" xfId="0" applyNumberFormat="1" applyFont="1" applyFill="1" applyBorder="1" applyAlignment="1">
      <alignment vertical="center" wrapText="1"/>
    </xf>
    <xf numFmtId="3" fontId="0" fillId="9" borderId="1" xfId="0" applyNumberFormat="1" applyFill="1" applyBorder="1" applyAlignment="1">
      <alignment vertical="center"/>
    </xf>
    <xf numFmtId="3" fontId="11" fillId="0" borderId="2" xfId="0" applyNumberFormat="1" applyFont="1" applyFill="1" applyBorder="1" applyAlignment="1">
      <alignment horizontal="right" vertical="center" wrapText="1"/>
    </xf>
    <xf numFmtId="10" fontId="0" fillId="0" borderId="0" xfId="0" applyNumberFormat="1"/>
    <xf numFmtId="0" fontId="33" fillId="12" borderId="1" xfId="0" applyFont="1" applyFill="1" applyBorder="1" applyAlignment="1">
      <alignment vertical="center" wrapText="1"/>
    </xf>
    <xf numFmtId="165" fontId="0" fillId="0" borderId="1" xfId="1" applyNumberFormat="1" applyFont="1" applyBorder="1" applyAlignment="1">
      <alignment vertical="center"/>
    </xf>
    <xf numFmtId="10" fontId="9" fillId="0" borderId="2" xfId="15" applyNumberFormat="1" applyFont="1" applyFill="1" applyBorder="1" applyAlignment="1">
      <alignment vertical="center"/>
    </xf>
    <xf numFmtId="9" fontId="11" fillId="9" borderId="1" xfId="15" applyFont="1" applyFill="1" applyBorder="1" applyAlignment="1">
      <alignment horizontal="right" vertical="center" wrapText="1"/>
    </xf>
    <xf numFmtId="0" fontId="0" fillId="0" borderId="1" xfId="0" applyFont="1" applyBorder="1" applyAlignment="1">
      <alignment wrapText="1"/>
    </xf>
    <xf numFmtId="0" fontId="33" fillId="12" borderId="32" xfId="0" applyFont="1" applyFill="1" applyBorder="1" applyAlignment="1">
      <alignment horizontal="center" vertical="center"/>
    </xf>
    <xf numFmtId="0" fontId="33" fillId="12" borderId="11" xfId="0" applyFont="1" applyFill="1" applyBorder="1" applyAlignment="1">
      <alignment horizontal="center" vertical="center"/>
    </xf>
    <xf numFmtId="0" fontId="33" fillId="12" borderId="33" xfId="0" applyFont="1" applyFill="1" applyBorder="1" applyAlignment="1">
      <alignment horizontal="center" vertical="center"/>
    </xf>
    <xf numFmtId="0" fontId="0" fillId="0" borderId="34" xfId="0" applyBorder="1"/>
    <xf numFmtId="10" fontId="9" fillId="0" borderId="35" xfId="15" applyNumberFormat="1" applyFont="1" applyFill="1" applyBorder="1" applyAlignment="1">
      <alignment horizontal="center" vertical="center"/>
    </xf>
    <xf numFmtId="0" fontId="33" fillId="12" borderId="36" xfId="0" applyFont="1" applyFill="1" applyBorder="1"/>
    <xf numFmtId="3" fontId="33" fillId="12" borderId="37" xfId="0" applyNumberFormat="1" applyFont="1" applyFill="1" applyBorder="1"/>
    <xf numFmtId="0" fontId="0" fillId="0" borderId="37" xfId="0" applyFill="1" applyBorder="1"/>
    <xf numFmtId="10" fontId="33" fillId="12" borderId="43" xfId="15" applyNumberFormat="1" applyFont="1" applyFill="1" applyBorder="1" applyAlignment="1">
      <alignment horizontal="center" vertical="center"/>
    </xf>
    <xf numFmtId="10" fontId="33" fillId="12" borderId="24" xfId="15" applyNumberFormat="1" applyFont="1" applyFill="1" applyBorder="1" applyAlignment="1">
      <alignment horizontal="center" vertical="center"/>
    </xf>
    <xf numFmtId="0" fontId="33" fillId="12" borderId="36" xfId="0" applyFont="1" applyFill="1" applyBorder="1" applyAlignment="1">
      <alignment horizontal="center" vertical="center"/>
    </xf>
    <xf numFmtId="3" fontId="33" fillId="12" borderId="37" xfId="0" applyNumberFormat="1" applyFont="1" applyFill="1" applyBorder="1" applyAlignment="1">
      <alignment horizontal="center" vertical="center"/>
    </xf>
    <xf numFmtId="0" fontId="0" fillId="0" borderId="37" xfId="0" applyBorder="1"/>
    <xf numFmtId="10" fontId="9" fillId="0" borderId="37" xfId="15" applyNumberFormat="1" applyFont="1" applyFill="1" applyBorder="1" applyAlignment="1">
      <alignment horizontal="center" vertical="center"/>
    </xf>
    <xf numFmtId="10" fontId="9" fillId="0" borderId="38" xfId="15" applyNumberFormat="1" applyFont="1" applyFill="1" applyBorder="1" applyAlignment="1">
      <alignment horizontal="center" vertical="center"/>
    </xf>
    <xf numFmtId="0" fontId="8" fillId="9" borderId="34" xfId="0" applyFont="1" applyFill="1" applyBorder="1" applyAlignment="1">
      <alignment horizontal="center" vertical="center" wrapText="1"/>
    </xf>
    <xf numFmtId="0" fontId="0" fillId="0" borderId="1" xfId="0" applyBorder="1" applyAlignment="1">
      <alignment horizontal="center" vertical="center"/>
    </xf>
    <xf numFmtId="0" fontId="21" fillId="10" borderId="1"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0" fontId="0" fillId="0" borderId="1" xfId="0" applyBorder="1" applyAlignment="1">
      <alignment horizontal="center" vertical="center"/>
    </xf>
    <xf numFmtId="0" fontId="9" fillId="0" borderId="2" xfId="0" applyFont="1" applyFill="1" applyBorder="1" applyAlignment="1">
      <alignment horizontal="left" vertical="top" wrapText="1"/>
    </xf>
    <xf numFmtId="0" fontId="9" fillId="0" borderId="2" xfId="0" applyFont="1" applyFill="1" applyBorder="1" applyAlignment="1">
      <alignment horizontal="justify" vertical="center" wrapText="1"/>
    </xf>
    <xf numFmtId="3" fontId="11" fillId="9" borderId="9" xfId="0" applyNumberFormat="1" applyFont="1" applyFill="1" applyBorder="1" applyAlignment="1">
      <alignment horizontal="right" vertical="center" wrapText="1"/>
    </xf>
    <xf numFmtId="0" fontId="29" fillId="0" borderId="13" xfId="0" applyFont="1" applyBorder="1" applyAlignment="1">
      <alignment horizontal="center" vertical="center"/>
    </xf>
    <xf numFmtId="0" fontId="9" fillId="0" borderId="1" xfId="0" applyFont="1" applyFill="1" applyBorder="1" applyAlignment="1">
      <alignment horizontal="left" vertical="top" wrapText="1"/>
    </xf>
    <xf numFmtId="0" fontId="9" fillId="0"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30" fillId="5" borderId="1" xfId="2" applyNumberFormat="1" applyFont="1" applyFill="1" applyBorder="1" applyAlignment="1" applyProtection="1">
      <alignment horizontal="center" vertical="center" wrapText="1"/>
    </xf>
    <xf numFmtId="0" fontId="33" fillId="12" borderId="1" xfId="0" applyFont="1" applyFill="1" applyBorder="1" applyAlignment="1">
      <alignment horizontal="center"/>
    </xf>
    <xf numFmtId="0" fontId="33" fillId="12" borderId="1" xfId="0" applyFont="1" applyFill="1" applyBorder="1" applyAlignment="1">
      <alignment horizontal="center" vertical="center" wrapText="1"/>
    </xf>
    <xf numFmtId="9" fontId="9" fillId="0" borderId="2" xfId="0" applyNumberFormat="1" applyFont="1" applyFill="1" applyBorder="1" applyAlignment="1">
      <alignment horizontal="center" vertical="center" wrapText="1"/>
    </xf>
    <xf numFmtId="10" fontId="0" fillId="0" borderId="2" xfId="15" applyNumberFormat="1" applyFont="1" applyBorder="1" applyAlignment="1">
      <alignment horizontal="center" vertical="center"/>
    </xf>
    <xf numFmtId="10" fontId="0" fillId="0" borderId="2" xfId="0" applyNumberFormat="1" applyBorder="1" applyAlignment="1">
      <alignment horizontal="center" vertical="center"/>
    </xf>
    <xf numFmtId="10" fontId="0" fillId="0" borderId="1" xfId="15" applyNumberFormat="1" applyFont="1" applyBorder="1" applyAlignment="1">
      <alignment horizontal="center" vertical="center"/>
    </xf>
    <xf numFmtId="10" fontId="0" fillId="0" borderId="1" xfId="0" applyNumberFormat="1" applyBorder="1" applyAlignment="1">
      <alignment horizontal="center" vertical="center"/>
    </xf>
    <xf numFmtId="9" fontId="9" fillId="0" borderId="1" xfId="0" applyNumberFormat="1" applyFont="1" applyFill="1" applyBorder="1" applyAlignment="1">
      <alignment horizontal="center" vertical="center" wrapText="1"/>
    </xf>
    <xf numFmtId="0" fontId="9" fillId="0" borderId="1" xfId="0" applyFont="1" applyFill="1" applyBorder="1" applyAlignment="1">
      <alignment horizontal="justify" vertical="center" wrapText="1"/>
    </xf>
    <xf numFmtId="9" fontId="0" fillId="0" borderId="1" xfId="15" applyFont="1" applyBorder="1" applyAlignment="1">
      <alignment horizontal="center" vertical="center"/>
    </xf>
    <xf numFmtId="0" fontId="9" fillId="0" borderId="1" xfId="0" applyFont="1" applyFill="1" applyBorder="1" applyAlignment="1">
      <alignment horizontal="justify" vertical="top" wrapText="1"/>
    </xf>
    <xf numFmtId="0" fontId="0" fillId="0" borderId="1" xfId="0" applyFont="1" applyBorder="1" applyAlignment="1">
      <alignment horizontal="justify" vertical="top" wrapText="1"/>
    </xf>
    <xf numFmtId="9" fontId="0" fillId="0" borderId="1" xfId="0" applyNumberFormat="1" applyBorder="1" applyAlignment="1">
      <alignment horizontal="center" vertical="center"/>
    </xf>
    <xf numFmtId="0" fontId="0" fillId="0" borderId="1" xfId="0" applyBorder="1" applyAlignment="1">
      <alignment horizontal="justify" vertical="center" wrapText="1"/>
    </xf>
    <xf numFmtId="0" fontId="33" fillId="12" borderId="1" xfId="0" applyFont="1" applyFill="1" applyBorder="1" applyAlignment="1">
      <alignment horizontal="center" vertical="center"/>
    </xf>
    <xf numFmtId="0" fontId="0" fillId="0" borderId="1" xfId="0" applyBorder="1" applyAlignment="1">
      <alignment horizontal="justify" wrapText="1"/>
    </xf>
    <xf numFmtId="3" fontId="11" fillId="11" borderId="1" xfId="0" applyNumberFormat="1" applyFont="1" applyFill="1" applyBorder="1" applyAlignment="1">
      <alignment horizontal="center" vertical="center" wrapText="1"/>
    </xf>
    <xf numFmtId="3" fontId="0" fillId="0" borderId="0" xfId="0" applyNumberFormat="1" applyAlignment="1">
      <alignment horizontal="center" vertical="center"/>
    </xf>
    <xf numFmtId="0" fontId="16" fillId="0" borderId="0" xfId="0" applyFont="1" applyFill="1" applyBorder="1" applyAlignment="1">
      <alignment horizontal="center" vertical="center"/>
    </xf>
    <xf numFmtId="0" fontId="16" fillId="0" borderId="0" xfId="0" applyFont="1" applyBorder="1" applyAlignment="1">
      <alignment horizontal="center" vertical="center"/>
    </xf>
    <xf numFmtId="3" fontId="2" fillId="0" borderId="0" xfId="0" applyNumberFormat="1" applyFont="1" applyBorder="1" applyAlignment="1">
      <alignment horizontal="center" vertical="center"/>
    </xf>
    <xf numFmtId="0" fontId="0" fillId="0" borderId="0" xfId="0" applyBorder="1" applyAlignment="1">
      <alignment horizontal="center"/>
    </xf>
    <xf numFmtId="9" fontId="9" fillId="0" borderId="2" xfId="15" applyNumberFormat="1" applyFont="1" applyFill="1" applyBorder="1" applyAlignment="1">
      <alignment horizontal="center" vertical="center"/>
    </xf>
    <xf numFmtId="0" fontId="29" fillId="0" borderId="13" xfId="0" applyFont="1" applyFill="1" applyBorder="1" applyAlignment="1">
      <alignment vertical="center"/>
    </xf>
    <xf numFmtId="0" fontId="29" fillId="0" borderId="13" xfId="0" applyFont="1" applyFill="1" applyBorder="1" applyAlignment="1">
      <alignment horizontal="center" vertical="center"/>
    </xf>
    <xf numFmtId="0" fontId="28" fillId="0" borderId="13" xfId="0" applyFont="1" applyFill="1" applyBorder="1"/>
    <xf numFmtId="9" fontId="9" fillId="0" borderId="1" xfId="15" applyNumberFormat="1" applyFont="1" applyFill="1" applyBorder="1" applyAlignment="1">
      <alignment horizontal="center" vertical="center"/>
    </xf>
    <xf numFmtId="0" fontId="0" fillId="0" borderId="1" xfId="0" applyBorder="1" applyAlignment="1">
      <alignment horizontal="center" vertical="center"/>
    </xf>
    <xf numFmtId="0" fontId="6" fillId="5" borderId="1" xfId="2" applyNumberFormat="1" applyFont="1" applyFill="1" applyBorder="1" applyAlignment="1" applyProtection="1">
      <alignment horizontal="center" vertical="center" wrapText="1"/>
    </xf>
    <xf numFmtId="3" fontId="10" fillId="0" borderId="2" xfId="0" applyNumberFormat="1" applyFont="1" applyFill="1" applyBorder="1" applyAlignment="1">
      <alignment horizontal="center" vertical="center" wrapText="1"/>
    </xf>
    <xf numFmtId="3" fontId="11" fillId="9" borderId="2" xfId="0" applyNumberFormat="1" applyFont="1" applyFill="1" applyBorder="1" applyAlignment="1">
      <alignment horizontal="right" vertical="center" wrapText="1"/>
    </xf>
    <xf numFmtId="10" fontId="9" fillId="0" borderId="2" xfId="15" applyNumberFormat="1" applyFont="1" applyFill="1" applyBorder="1" applyAlignment="1">
      <alignment horizontal="center" vertical="center"/>
    </xf>
    <xf numFmtId="10" fontId="9" fillId="0" borderId="9" xfId="15" applyNumberFormat="1" applyFont="1" applyFill="1" applyBorder="1" applyAlignment="1">
      <alignment horizontal="center" vertical="center"/>
    </xf>
    <xf numFmtId="3" fontId="10" fillId="0" borderId="1" xfId="0" applyNumberFormat="1" applyFont="1" applyFill="1" applyBorder="1" applyAlignment="1">
      <alignment horizontal="center" vertical="center" wrapText="1"/>
    </xf>
    <xf numFmtId="9" fontId="0" fillId="0" borderId="1" xfId="0" applyNumberFormat="1" applyBorder="1" applyAlignment="1">
      <alignment horizontal="center" vertical="center"/>
    </xf>
    <xf numFmtId="9" fontId="0" fillId="0" borderId="1" xfId="15" applyNumberFormat="1" applyFont="1" applyFill="1" applyBorder="1" applyAlignment="1">
      <alignment horizontal="center" vertical="center"/>
    </xf>
    <xf numFmtId="0" fontId="32" fillId="11" borderId="1" xfId="0" applyFont="1" applyFill="1" applyBorder="1" applyAlignment="1">
      <alignment horizontal="center" vertical="center" wrapText="1"/>
    </xf>
    <xf numFmtId="0" fontId="16" fillId="11" borderId="1" xfId="0" applyFont="1" applyFill="1" applyBorder="1" applyAlignment="1">
      <alignment horizontal="justify" vertical="center" wrapText="1"/>
    </xf>
    <xf numFmtId="0" fontId="16" fillId="11" borderId="1" xfId="0" applyFont="1" applyFill="1" applyBorder="1" applyAlignment="1">
      <alignment horizontal="center" vertical="center" wrapText="1"/>
    </xf>
    <xf numFmtId="3" fontId="11" fillId="11" borderId="1" xfId="0" applyNumberFormat="1" applyFont="1" applyFill="1" applyBorder="1" applyAlignment="1">
      <alignment horizontal="right" vertical="center" wrapText="1"/>
    </xf>
    <xf numFmtId="3" fontId="0" fillId="11" borderId="1" xfId="0" applyNumberFormat="1" applyFill="1" applyBorder="1" applyAlignment="1">
      <alignment vertical="center"/>
    </xf>
    <xf numFmtId="0" fontId="0" fillId="11" borderId="1" xfId="0" applyFill="1" applyBorder="1" applyAlignment="1">
      <alignment horizontal="center" vertical="center"/>
    </xf>
    <xf numFmtId="10" fontId="0" fillId="11" borderId="1" xfId="15" applyNumberFormat="1" applyFont="1" applyFill="1" applyBorder="1" applyAlignment="1">
      <alignment horizontal="center" vertical="center"/>
    </xf>
    <xf numFmtId="9" fontId="0" fillId="11" borderId="1" xfId="0" applyNumberFormat="1" applyFill="1" applyBorder="1" applyAlignment="1">
      <alignment horizontal="center" vertical="center"/>
    </xf>
    <xf numFmtId="10" fontId="9" fillId="11" borderId="2" xfId="15" applyNumberFormat="1" applyFont="1" applyFill="1" applyBorder="1" applyAlignment="1">
      <alignment horizontal="center" vertical="center"/>
    </xf>
    <xf numFmtId="0" fontId="0" fillId="11" borderId="1" xfId="0" applyFill="1" applyBorder="1"/>
    <xf numFmtId="10" fontId="0" fillId="9" borderId="0" xfId="0" applyNumberFormat="1" applyFill="1"/>
    <xf numFmtId="0" fontId="0" fillId="0" borderId="1" xfId="0" applyBorder="1" applyAlignment="1">
      <alignment horizontal="center" vertical="center"/>
    </xf>
    <xf numFmtId="10" fontId="9" fillId="0" borderId="2" xfId="15" applyNumberFormat="1" applyFont="1" applyFill="1" applyBorder="1" applyAlignment="1">
      <alignment horizontal="center" vertical="center"/>
    </xf>
    <xf numFmtId="9" fontId="9" fillId="0" borderId="2" xfId="15" applyNumberFormat="1" applyFont="1" applyFill="1" applyBorder="1" applyAlignment="1">
      <alignment horizontal="center" vertical="center"/>
    </xf>
    <xf numFmtId="169" fontId="9" fillId="0" borderId="2" xfId="15"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0" fillId="0" borderId="1" xfId="0" applyBorder="1" applyAlignment="1">
      <alignment horizontal="center" vertical="center"/>
    </xf>
    <xf numFmtId="0" fontId="6" fillId="5" borderId="1" xfId="2" applyNumberFormat="1" applyFont="1" applyFill="1" applyBorder="1" applyAlignment="1" applyProtection="1">
      <alignment horizontal="center" vertical="center" wrapText="1"/>
    </xf>
    <xf numFmtId="0" fontId="0" fillId="0" borderId="4" xfId="0" applyFont="1" applyBorder="1" applyAlignment="1">
      <alignment horizontal="center" vertical="center" wrapText="1"/>
    </xf>
    <xf numFmtId="3" fontId="10" fillId="0" borderId="2" xfId="0" applyNumberFormat="1" applyFont="1" applyFill="1" applyBorder="1" applyAlignment="1">
      <alignment horizontal="center" vertical="center" wrapText="1"/>
    </xf>
    <xf numFmtId="3" fontId="10" fillId="0" borderId="9" xfId="0" applyNumberFormat="1" applyFont="1" applyFill="1" applyBorder="1" applyAlignment="1">
      <alignment horizontal="center" vertical="center" wrapText="1"/>
    </xf>
    <xf numFmtId="3" fontId="10" fillId="0" borderId="4" xfId="0" applyNumberFormat="1" applyFont="1" applyFill="1" applyBorder="1" applyAlignment="1">
      <alignment horizontal="center" vertical="center" wrapText="1"/>
    </xf>
    <xf numFmtId="0" fontId="9" fillId="0" borderId="2" xfId="0" applyFont="1" applyFill="1" applyBorder="1" applyAlignment="1">
      <alignment horizontal="left" vertical="top" wrapText="1"/>
    </xf>
    <xf numFmtId="0" fontId="9" fillId="0" borderId="9" xfId="0" applyFont="1" applyFill="1" applyBorder="1" applyAlignment="1">
      <alignment horizontal="center" vertical="center" wrapText="1"/>
    </xf>
    <xf numFmtId="0" fontId="28" fillId="0" borderId="13" xfId="0" applyFont="1" applyFill="1" applyBorder="1" applyAlignment="1">
      <alignment horizontal="center"/>
    </xf>
    <xf numFmtId="3" fontId="11" fillId="9" borderId="2" xfId="0" applyNumberFormat="1" applyFont="1" applyFill="1" applyBorder="1" applyAlignment="1">
      <alignment horizontal="right" vertical="center" wrapText="1"/>
    </xf>
    <xf numFmtId="3" fontId="11" fillId="9" borderId="9" xfId="0" applyNumberFormat="1" applyFont="1" applyFill="1" applyBorder="1" applyAlignment="1">
      <alignment horizontal="right" vertical="center" wrapText="1"/>
    </xf>
    <xf numFmtId="3" fontId="11" fillId="9" borderId="4" xfId="0" applyNumberFormat="1" applyFont="1" applyFill="1" applyBorder="1" applyAlignment="1">
      <alignment horizontal="right" vertical="center" wrapText="1"/>
    </xf>
    <xf numFmtId="3" fontId="0" fillId="9" borderId="9" xfId="0" applyNumberFormat="1" applyFill="1" applyBorder="1" applyAlignment="1">
      <alignment horizontal="right" vertical="center"/>
    </xf>
    <xf numFmtId="3" fontId="0" fillId="9" borderId="4" xfId="0" applyNumberFormat="1" applyFill="1" applyBorder="1" applyAlignment="1">
      <alignment horizontal="right" vertical="center"/>
    </xf>
    <xf numFmtId="3" fontId="11" fillId="9" borderId="2" xfId="0" applyNumberFormat="1" applyFont="1" applyFill="1" applyBorder="1" applyAlignment="1">
      <alignment horizontal="center" vertical="center" wrapText="1"/>
    </xf>
    <xf numFmtId="3" fontId="0" fillId="9" borderId="1" xfId="0" applyNumberFormat="1" applyFill="1" applyBorder="1" applyAlignment="1">
      <alignment horizontal="center" vertical="center"/>
    </xf>
    <xf numFmtId="0" fontId="8" fillId="0" borderId="1" xfId="0" applyFont="1" applyBorder="1" applyAlignment="1">
      <alignment horizontal="justify" vertical="top" wrapText="1"/>
    </xf>
    <xf numFmtId="0" fontId="6" fillId="5" borderId="2" xfId="2" applyNumberFormat="1" applyFont="1" applyFill="1" applyBorder="1" applyAlignment="1" applyProtection="1">
      <alignment horizontal="center" vertical="center" wrapText="1"/>
    </xf>
    <xf numFmtId="10" fontId="9" fillId="0" borderId="2" xfId="15" applyNumberFormat="1" applyFont="1" applyFill="1" applyBorder="1" applyAlignment="1">
      <alignment horizontal="center" vertical="center"/>
    </xf>
    <xf numFmtId="10" fontId="9" fillId="0" borderId="9" xfId="15" applyNumberFormat="1" applyFont="1" applyFill="1" applyBorder="1" applyAlignment="1">
      <alignment horizontal="center" vertical="center"/>
    </xf>
    <xf numFmtId="0" fontId="21" fillId="10" borderId="1"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9" borderId="9" xfId="0" applyFont="1" applyFill="1" applyBorder="1" applyAlignment="1">
      <alignment horizontal="center" vertical="center" wrapText="1"/>
    </xf>
    <xf numFmtId="3" fontId="11" fillId="9" borderId="4" xfId="0" applyNumberFormat="1" applyFont="1" applyFill="1" applyBorder="1" applyAlignment="1">
      <alignment horizontal="center" vertical="center" wrapText="1"/>
    </xf>
    <xf numFmtId="0" fontId="8" fillId="9" borderId="4" xfId="0" applyFont="1" applyFill="1" applyBorder="1" applyAlignment="1">
      <alignment horizontal="center" vertical="center" wrapText="1"/>
    </xf>
    <xf numFmtId="0" fontId="28" fillId="12" borderId="13" xfId="0" applyFont="1" applyFill="1" applyBorder="1" applyAlignment="1">
      <alignment horizontal="center"/>
    </xf>
    <xf numFmtId="0" fontId="0" fillId="0" borderId="13" xfId="0" applyBorder="1" applyAlignment="1">
      <alignment horizontal="center"/>
    </xf>
    <xf numFmtId="0" fontId="0" fillId="0" borderId="9" xfId="0" applyBorder="1" applyAlignment="1">
      <alignment horizontal="center" vertical="center" textRotation="255"/>
    </xf>
    <xf numFmtId="0" fontId="29" fillId="0" borderId="13" xfId="0" applyFont="1" applyBorder="1" applyAlignment="1">
      <alignment horizontal="center" vertical="center"/>
    </xf>
    <xf numFmtId="0" fontId="9" fillId="0" borderId="1" xfId="0" applyFont="1" applyFill="1" applyBorder="1" applyAlignment="1">
      <alignment horizontal="left" vertical="top" wrapText="1"/>
    </xf>
    <xf numFmtId="0" fontId="9" fillId="0"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0" fontId="0" fillId="0" borderId="4" xfId="0" applyFont="1" applyBorder="1" applyAlignment="1">
      <alignment vertical="center" wrapText="1"/>
    </xf>
    <xf numFmtId="9" fontId="0" fillId="0" borderId="1" xfId="15" applyFont="1" applyBorder="1" applyAlignment="1">
      <alignment horizontal="center" vertical="center"/>
    </xf>
    <xf numFmtId="9" fontId="9" fillId="0" borderId="2" xfId="15" applyNumberFormat="1" applyFont="1" applyFill="1" applyBorder="1" applyAlignment="1">
      <alignment horizontal="center" vertical="center"/>
    </xf>
    <xf numFmtId="0" fontId="0" fillId="0" borderId="1" xfId="0" applyBorder="1" applyAlignment="1">
      <alignment horizontal="justify" vertical="center" wrapText="1"/>
    </xf>
    <xf numFmtId="0" fontId="8" fillId="0" borderId="1" xfId="0" applyFont="1" applyBorder="1" applyAlignment="1">
      <alignment horizontal="center" vertical="top" wrapText="1"/>
    </xf>
    <xf numFmtId="0" fontId="16" fillId="0" borderId="1" xfId="0" applyFont="1" applyFill="1" applyBorder="1" applyAlignment="1">
      <alignment vertical="center" wrapText="1"/>
    </xf>
    <xf numFmtId="0" fontId="16" fillId="0" borderId="1" xfId="0" applyFont="1" applyFill="1" applyBorder="1" applyAlignment="1">
      <alignment horizontal="left" vertical="center" wrapText="1"/>
    </xf>
    <xf numFmtId="3" fontId="51" fillId="9" borderId="1" xfId="0" applyNumberFormat="1" applyFont="1" applyFill="1" applyBorder="1" applyAlignment="1">
      <alignment horizontal="right" vertical="center" wrapText="1"/>
    </xf>
    <xf numFmtId="0" fontId="0" fillId="0" borderId="1" xfId="0" applyBorder="1" applyAlignment="1">
      <alignment vertical="center"/>
    </xf>
    <xf numFmtId="0" fontId="16" fillId="0" borderId="2" xfId="0" applyFont="1" applyFill="1" applyBorder="1" applyAlignment="1">
      <alignment vertical="center" wrapText="1"/>
    </xf>
    <xf numFmtId="0" fontId="0" fillId="10" borderId="1" xfId="0" applyFill="1" applyBorder="1" applyAlignment="1">
      <alignment vertical="center"/>
    </xf>
    <xf numFmtId="0" fontId="0" fillId="0" borderId="0" xfId="0" applyAlignment="1">
      <alignment vertical="center"/>
    </xf>
    <xf numFmtId="3" fontId="11" fillId="0" borderId="4" xfId="0" applyNumberFormat="1" applyFont="1" applyFill="1" applyBorder="1" applyAlignment="1">
      <alignment horizontal="right" vertical="center" wrapText="1"/>
    </xf>
    <xf numFmtId="165" fontId="0" fillId="0" borderId="1" xfId="1" applyNumberFormat="1" applyFont="1" applyFill="1" applyBorder="1" applyAlignment="1">
      <alignment vertical="center"/>
    </xf>
    <xf numFmtId="3" fontId="0" fillId="0" borderId="4" xfId="0" applyNumberFormat="1" applyFill="1" applyBorder="1" applyAlignment="1">
      <alignment vertical="center"/>
    </xf>
    <xf numFmtId="0" fontId="0" fillId="0" borderId="1" xfId="0" applyFont="1" applyFill="1" applyBorder="1" applyAlignment="1">
      <alignment vertical="center" wrapText="1"/>
    </xf>
    <xf numFmtId="3" fontId="11" fillId="0" borderId="1" xfId="0" applyNumberFormat="1" applyFont="1" applyFill="1" applyBorder="1" applyAlignment="1">
      <alignment horizontal="right" vertical="center" wrapText="1"/>
    </xf>
    <xf numFmtId="0" fontId="0" fillId="0" borderId="1" xfId="0" applyFill="1" applyBorder="1" applyAlignment="1">
      <alignment vertical="center"/>
    </xf>
    <xf numFmtId="9" fontId="10" fillId="0" borderId="4" xfId="15" applyFont="1" applyFill="1" applyBorder="1" applyAlignment="1">
      <alignment horizontal="center" vertical="center" wrapText="1"/>
    </xf>
    <xf numFmtId="9" fontId="10" fillId="0" borderId="1" xfId="15" applyFont="1" applyFill="1" applyBorder="1" applyAlignment="1">
      <alignment horizontal="center" vertical="center" wrapText="1"/>
    </xf>
    <xf numFmtId="9" fontId="0" fillId="0" borderId="1" xfId="15" applyNumberFormat="1" applyFont="1" applyBorder="1" applyAlignment="1">
      <alignment horizontal="center" vertical="center"/>
    </xf>
    <xf numFmtId="9" fontId="0" fillId="0" borderId="4" xfId="0" applyNumberFormat="1" applyBorder="1" applyAlignment="1">
      <alignment horizontal="center" vertical="center"/>
    </xf>
    <xf numFmtId="0" fontId="0" fillId="0" borderId="1" xfId="0" applyBorder="1" applyAlignment="1">
      <alignment horizontal="left" wrapText="1"/>
    </xf>
    <xf numFmtId="3" fontId="10" fillId="23" borderId="1" xfId="0" applyNumberFormat="1" applyFont="1" applyFill="1" applyBorder="1" applyAlignment="1">
      <alignment horizontal="center" vertical="center" wrapText="1"/>
    </xf>
    <xf numFmtId="3" fontId="11" fillId="23" borderId="1" xfId="0" applyNumberFormat="1" applyFont="1" applyFill="1" applyBorder="1" applyAlignment="1">
      <alignment horizontal="center" vertical="center" wrapText="1"/>
    </xf>
    <xf numFmtId="3" fontId="11" fillId="23" borderId="1" xfId="0" applyNumberFormat="1" applyFont="1" applyFill="1" applyBorder="1" applyAlignment="1">
      <alignment horizontal="right" vertical="center" wrapText="1"/>
    </xf>
    <xf numFmtId="3" fontId="0" fillId="23" borderId="4" xfId="0" applyNumberFormat="1" applyFill="1" applyBorder="1" applyAlignment="1">
      <alignment horizontal="center" vertical="center"/>
    </xf>
    <xf numFmtId="9" fontId="0" fillId="23" borderId="4" xfId="15" applyFont="1" applyFill="1" applyBorder="1" applyAlignment="1">
      <alignment horizontal="center" vertical="center"/>
    </xf>
    <xf numFmtId="0" fontId="0" fillId="23" borderId="1" xfId="0" applyFill="1" applyBorder="1" applyAlignment="1">
      <alignment horizontal="center" vertical="center"/>
    </xf>
    <xf numFmtId="10" fontId="0" fillId="23" borderId="1" xfId="15" applyNumberFormat="1" applyFont="1" applyFill="1" applyBorder="1" applyAlignment="1">
      <alignment horizontal="center" vertical="center"/>
    </xf>
    <xf numFmtId="0" fontId="0" fillId="23" borderId="4" xfId="0" applyFill="1" applyBorder="1" applyAlignment="1">
      <alignment horizontal="center" vertical="center"/>
    </xf>
    <xf numFmtId="9" fontId="0" fillId="0" borderId="4" xfId="15" applyNumberFormat="1" applyFont="1" applyBorder="1" applyAlignment="1">
      <alignment horizontal="center" vertical="center"/>
    </xf>
    <xf numFmtId="0" fontId="0" fillId="0" borderId="1" xfId="0" applyBorder="1" applyAlignment="1">
      <alignment horizontal="left" vertical="center" wrapText="1"/>
    </xf>
    <xf numFmtId="0" fontId="0" fillId="0" borderId="1" xfId="0" applyFill="1" applyBorder="1" applyAlignment="1">
      <alignment horizontal="left" vertical="center" wrapText="1"/>
    </xf>
    <xf numFmtId="0" fontId="0" fillId="0" borderId="1" xfId="0" applyFill="1" applyBorder="1" applyAlignment="1">
      <alignment vertical="top" wrapText="1"/>
    </xf>
    <xf numFmtId="0" fontId="0" fillId="0" borderId="1" xfId="0" applyFill="1" applyBorder="1" applyAlignment="1">
      <alignment horizontal="left" wrapText="1"/>
    </xf>
    <xf numFmtId="0" fontId="20" fillId="0" borderId="2"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2" xfId="0" applyFont="1" applyBorder="1" applyAlignment="1">
      <alignment horizontal="center" vertical="center"/>
    </xf>
    <xf numFmtId="0" fontId="20" fillId="0" borderId="9"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wrapText="1"/>
    </xf>
    <xf numFmtId="0" fontId="20" fillId="0" borderId="1" xfId="0" applyFont="1" applyBorder="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center" vertical="center" wrapText="1"/>
    </xf>
    <xf numFmtId="0" fontId="48" fillId="0" borderId="16" xfId="0" applyFont="1" applyBorder="1" applyAlignment="1">
      <alignment horizontal="center" vertical="center"/>
    </xf>
    <xf numFmtId="0" fontId="48" fillId="0" borderId="0" xfId="0" applyFont="1" applyAlignment="1">
      <alignment horizontal="center" vertical="center"/>
    </xf>
    <xf numFmtId="0" fontId="49" fillId="0" borderId="16" xfId="0" applyFont="1" applyBorder="1" applyAlignment="1">
      <alignment horizontal="center" vertical="center"/>
    </xf>
    <xf numFmtId="164" fontId="5" fillId="4" borderId="1" xfId="2" applyNumberFormat="1" applyFont="1" applyFill="1" applyBorder="1" applyAlignment="1" applyProtection="1">
      <alignment horizontal="center" vertical="center" wrapText="1"/>
    </xf>
    <xf numFmtId="0" fontId="7" fillId="3" borderId="2"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28" fillId="12" borderId="14" xfId="0" applyFont="1" applyFill="1" applyBorder="1" applyAlignment="1">
      <alignment horizontal="center" vertical="center"/>
    </xf>
    <xf numFmtId="0" fontId="28" fillId="12" borderId="15" xfId="0" applyFont="1" applyFill="1" applyBorder="1" applyAlignment="1">
      <alignment horizontal="center" vertical="center"/>
    </xf>
    <xf numFmtId="0" fontId="31" fillId="12" borderId="6" xfId="0" applyFont="1" applyFill="1" applyBorder="1" applyAlignment="1">
      <alignment horizontal="center" vertical="center"/>
    </xf>
    <xf numFmtId="0" fontId="31" fillId="12" borderId="7" xfId="0" applyFont="1" applyFill="1" applyBorder="1" applyAlignment="1">
      <alignment horizontal="center" vertical="center"/>
    </xf>
    <xf numFmtId="0" fontId="31" fillId="12" borderId="8" xfId="0" applyFont="1" applyFill="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0" fillId="3" borderId="2" xfId="0" applyFill="1" applyBorder="1" applyAlignment="1">
      <alignment horizontal="center" vertical="center" wrapText="1"/>
    </xf>
    <xf numFmtId="0" fontId="0" fillId="3" borderId="4" xfId="0"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6" fillId="7" borderId="2" xfId="2" applyNumberFormat="1" applyFont="1" applyFill="1" applyBorder="1" applyAlignment="1" applyProtection="1">
      <alignment horizontal="center" vertical="center" wrapText="1"/>
    </xf>
    <xf numFmtId="0" fontId="6" fillId="7" borderId="9" xfId="2" applyNumberFormat="1" applyFont="1" applyFill="1" applyBorder="1" applyAlignment="1" applyProtection="1">
      <alignment horizontal="center" vertical="center" wrapText="1"/>
    </xf>
    <xf numFmtId="0" fontId="6" fillId="7" borderId="4" xfId="2" applyNumberFormat="1" applyFont="1" applyFill="1" applyBorder="1" applyAlignment="1" applyProtection="1">
      <alignment horizontal="center" vertical="center" wrapText="1"/>
    </xf>
    <xf numFmtId="0" fontId="6" fillId="5" borderId="6" xfId="2" applyNumberFormat="1" applyFont="1" applyFill="1" applyBorder="1" applyAlignment="1" applyProtection="1">
      <alignment horizontal="center" vertical="center" wrapText="1"/>
    </xf>
    <xf numFmtId="0" fontId="6" fillId="5" borderId="8" xfId="2" applyNumberFormat="1" applyFont="1" applyFill="1" applyBorder="1" applyAlignment="1" applyProtection="1">
      <alignment horizontal="center" vertical="center" wrapText="1"/>
    </xf>
    <xf numFmtId="0" fontId="6" fillId="8" borderId="6" xfId="2" applyNumberFormat="1" applyFont="1" applyFill="1" applyBorder="1" applyAlignment="1" applyProtection="1">
      <alignment horizontal="center" vertical="center" wrapText="1"/>
    </xf>
    <xf numFmtId="0" fontId="6" fillId="8" borderId="7" xfId="2" applyNumberFormat="1" applyFont="1" applyFill="1" applyBorder="1" applyAlignment="1" applyProtection="1">
      <alignment horizontal="center" vertical="center" wrapText="1"/>
    </xf>
    <xf numFmtId="0" fontId="6" fillId="8" borderId="8" xfId="2" applyNumberFormat="1" applyFont="1" applyFill="1" applyBorder="1" applyAlignment="1" applyProtection="1">
      <alignment horizontal="center" vertical="center" wrapText="1"/>
    </xf>
    <xf numFmtId="0" fontId="6" fillId="5" borderId="7" xfId="2" applyNumberFormat="1" applyFont="1" applyFill="1" applyBorder="1" applyAlignment="1" applyProtection="1">
      <alignment horizontal="center" vertical="center" wrapText="1"/>
    </xf>
    <xf numFmtId="3" fontId="6" fillId="5" borderId="2" xfId="2" applyNumberFormat="1" applyFont="1" applyFill="1" applyBorder="1" applyAlignment="1" applyProtection="1">
      <alignment horizontal="center" vertical="center" wrapText="1"/>
    </xf>
    <xf numFmtId="3" fontId="6" fillId="5" borderId="9" xfId="2" applyNumberFormat="1" applyFont="1" applyFill="1" applyBorder="1" applyAlignment="1" applyProtection="1">
      <alignment horizontal="center" vertical="center" wrapText="1"/>
    </xf>
    <xf numFmtId="3" fontId="6" fillId="5" borderId="4" xfId="2" applyNumberFormat="1" applyFont="1" applyFill="1" applyBorder="1" applyAlignment="1" applyProtection="1">
      <alignment horizontal="center" vertical="center" wrapText="1"/>
    </xf>
    <xf numFmtId="0" fontId="6" fillId="6" borderId="2" xfId="2" applyNumberFormat="1" applyFont="1" applyFill="1" applyBorder="1" applyAlignment="1" applyProtection="1">
      <alignment horizontal="center" vertical="center" wrapText="1"/>
    </xf>
    <xf numFmtId="0" fontId="6" fillId="6" borderId="4" xfId="2" applyNumberFormat="1" applyFont="1" applyFill="1" applyBorder="1" applyAlignment="1" applyProtection="1">
      <alignment horizontal="center" vertical="center" wrapText="1"/>
    </xf>
    <xf numFmtId="1" fontId="6" fillId="6" borderId="2" xfId="2" applyNumberFormat="1" applyFont="1" applyFill="1" applyBorder="1" applyAlignment="1" applyProtection="1">
      <alignment horizontal="center" vertical="center" wrapText="1"/>
    </xf>
    <xf numFmtId="1" fontId="6" fillId="6" borderId="4" xfId="2" applyNumberFormat="1" applyFont="1" applyFill="1" applyBorder="1" applyAlignment="1" applyProtection="1">
      <alignment horizontal="center" vertical="center" wrapText="1"/>
    </xf>
    <xf numFmtId="0" fontId="26" fillId="0" borderId="2" xfId="0" applyFont="1" applyBorder="1" applyAlignment="1">
      <alignment horizontal="center" vertical="center" textRotation="255" wrapText="1"/>
    </xf>
    <xf numFmtId="0" fontId="26" fillId="0" borderId="9" xfId="0" applyFont="1" applyBorder="1" applyAlignment="1">
      <alignment horizontal="center" vertical="center" textRotation="255" wrapText="1"/>
    </xf>
    <xf numFmtId="0" fontId="26" fillId="0" borderId="4" xfId="0" applyFont="1" applyBorder="1" applyAlignment="1">
      <alignment horizontal="center" vertical="center" textRotation="255" wrapText="1"/>
    </xf>
    <xf numFmtId="0" fontId="0" fillId="0" borderId="2" xfId="0" applyFont="1" applyBorder="1" applyAlignment="1">
      <alignment horizontal="center" vertical="center" wrapText="1"/>
    </xf>
    <xf numFmtId="0" fontId="0" fillId="0" borderId="9" xfId="0" applyFont="1" applyBorder="1" applyAlignment="1">
      <alignment horizontal="center" vertical="center" wrapText="1"/>
    </xf>
    <xf numFmtId="0" fontId="0" fillId="0" borderId="4" xfId="0" applyFont="1" applyBorder="1" applyAlignment="1">
      <alignment horizontal="center" vertical="center" wrapText="1"/>
    </xf>
    <xf numFmtId="3" fontId="10" fillId="0" borderId="2" xfId="0" applyNumberFormat="1" applyFont="1" applyFill="1" applyBorder="1" applyAlignment="1">
      <alignment horizontal="center" vertical="center" wrapText="1"/>
    </xf>
    <xf numFmtId="3" fontId="10" fillId="0" borderId="9" xfId="0" applyNumberFormat="1" applyFont="1" applyFill="1" applyBorder="1" applyAlignment="1">
      <alignment horizontal="center" vertical="center" wrapText="1"/>
    </xf>
    <xf numFmtId="3" fontId="10" fillId="0" borderId="4" xfId="0" applyNumberFormat="1" applyFont="1" applyFill="1" applyBorder="1" applyAlignment="1">
      <alignment horizontal="center" vertical="center" wrapText="1"/>
    </xf>
    <xf numFmtId="0" fontId="0" fillId="0" borderId="2" xfId="0" applyFont="1" applyBorder="1" applyAlignment="1">
      <alignment horizontal="left" vertical="top" wrapText="1"/>
    </xf>
    <xf numFmtId="0" fontId="0" fillId="0" borderId="9" xfId="0" applyFont="1" applyBorder="1" applyAlignment="1">
      <alignment horizontal="left" vertical="top" wrapText="1"/>
    </xf>
    <xf numFmtId="0" fontId="0" fillId="0" borderId="4" xfId="0" applyFont="1" applyBorder="1" applyAlignment="1">
      <alignment horizontal="left" vertical="top" wrapText="1"/>
    </xf>
    <xf numFmtId="0" fontId="0" fillId="0" borderId="2" xfId="0" applyFont="1" applyBorder="1" applyAlignment="1">
      <alignment horizontal="center" vertical="top" wrapText="1"/>
    </xf>
    <xf numFmtId="0" fontId="0" fillId="0" borderId="4" xfId="0" applyFont="1" applyBorder="1" applyAlignment="1">
      <alignment horizontal="center" vertical="top" wrapText="1"/>
    </xf>
    <xf numFmtId="0" fontId="13" fillId="10" borderId="1" xfId="0" applyFont="1" applyFill="1" applyBorder="1" applyAlignment="1">
      <alignment horizontal="center" vertical="center" wrapText="1"/>
    </xf>
    <xf numFmtId="164" fontId="5" fillId="4" borderId="2" xfId="2" applyNumberFormat="1" applyFont="1" applyFill="1" applyBorder="1" applyAlignment="1" applyProtection="1">
      <alignment horizontal="center" vertical="center" wrapText="1"/>
    </xf>
    <xf numFmtId="164" fontId="5" fillId="4" borderId="4" xfId="2" applyNumberFormat="1" applyFont="1" applyFill="1" applyBorder="1" applyAlignment="1" applyProtection="1">
      <alignment horizontal="center" vertical="center" wrapText="1"/>
    </xf>
    <xf numFmtId="0" fontId="6" fillId="5" borderId="1" xfId="2" applyNumberFormat="1" applyFont="1" applyFill="1" applyBorder="1" applyAlignment="1" applyProtection="1">
      <alignment horizontal="center" vertical="center" wrapText="1"/>
    </xf>
    <xf numFmtId="0" fontId="6" fillId="6" borderId="1" xfId="2" applyNumberFormat="1" applyFont="1" applyFill="1" applyBorder="1" applyAlignment="1" applyProtection="1">
      <alignment horizontal="center" vertical="center" wrapText="1"/>
    </xf>
    <xf numFmtId="1" fontId="6" fillId="6" borderId="1" xfId="2" applyNumberFormat="1" applyFont="1" applyFill="1" applyBorder="1" applyAlignment="1" applyProtection="1">
      <alignment horizontal="center" vertical="center" wrapText="1"/>
    </xf>
    <xf numFmtId="0" fontId="6" fillId="7" borderId="1" xfId="2" applyNumberFormat="1" applyFont="1" applyFill="1" applyBorder="1" applyAlignment="1" applyProtection="1">
      <alignment horizontal="center" vertical="center" wrapText="1"/>
    </xf>
    <xf numFmtId="0" fontId="6" fillId="8" borderId="1" xfId="2" applyNumberFormat="1" applyFont="1" applyFill="1" applyBorder="1" applyAlignment="1" applyProtection="1">
      <alignment horizontal="center" vertical="center" wrapText="1"/>
    </xf>
    <xf numFmtId="3" fontId="6" fillId="5" borderId="1" xfId="2" applyNumberFormat="1" applyFont="1" applyFill="1" applyBorder="1" applyAlignment="1" applyProtection="1">
      <alignment horizontal="center" vertical="center" wrapText="1"/>
    </xf>
    <xf numFmtId="0" fontId="9" fillId="0" borderId="2" xfId="0" applyFont="1" applyFill="1" applyBorder="1" applyAlignment="1">
      <alignment horizontal="left" vertical="top" wrapText="1"/>
    </xf>
    <xf numFmtId="0" fontId="9" fillId="0" borderId="9" xfId="0" applyFont="1" applyFill="1" applyBorder="1" applyAlignment="1">
      <alignment horizontal="left" vertical="top" wrapText="1"/>
    </xf>
    <xf numFmtId="0" fontId="18" fillId="10" borderId="1" xfId="0" applyFont="1" applyFill="1" applyBorder="1" applyAlignment="1">
      <alignment horizontal="left" vertical="center" wrapText="1"/>
    </xf>
    <xf numFmtId="0" fontId="0" fillId="0" borderId="2" xfId="0" applyBorder="1" applyAlignment="1">
      <alignment horizontal="center" vertical="center" textRotation="255" wrapText="1"/>
    </xf>
    <xf numFmtId="0" fontId="0" fillId="0" borderId="9" xfId="0" applyBorder="1" applyAlignment="1">
      <alignment horizontal="center" vertical="center" textRotation="255" wrapText="1"/>
    </xf>
    <xf numFmtId="0" fontId="0" fillId="0" borderId="4" xfId="0" applyBorder="1" applyAlignment="1">
      <alignment horizontal="center" vertical="center" textRotation="255" wrapText="1"/>
    </xf>
    <xf numFmtId="0" fontId="9" fillId="0" borderId="2"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4" xfId="0" applyFont="1" applyFill="1" applyBorder="1" applyAlignment="1">
      <alignment horizontal="left" vertical="top" wrapText="1"/>
    </xf>
    <xf numFmtId="0" fontId="29" fillId="0" borderId="13" xfId="0" applyFont="1" applyFill="1" applyBorder="1" applyAlignment="1">
      <alignment horizontal="center"/>
    </xf>
    <xf numFmtId="0" fontId="28" fillId="0" borderId="13" xfId="0" applyFont="1" applyFill="1" applyBorder="1" applyAlignment="1">
      <alignment horizontal="center"/>
    </xf>
    <xf numFmtId="0" fontId="29" fillId="0" borderId="13" xfId="0" applyFont="1" applyBorder="1" applyAlignment="1">
      <alignment horizontal="center"/>
    </xf>
    <xf numFmtId="0" fontId="26" fillId="0" borderId="2" xfId="0" applyFont="1" applyFill="1" applyBorder="1" applyAlignment="1">
      <alignment horizontal="center" vertical="center" textRotation="255" wrapText="1"/>
    </xf>
    <xf numFmtId="0" fontId="26" fillId="0" borderId="9" xfId="0" applyFont="1" applyFill="1" applyBorder="1" applyAlignment="1">
      <alignment horizontal="center" vertical="center" textRotation="255" wrapText="1"/>
    </xf>
    <xf numFmtId="0" fontId="26" fillId="0" borderId="4" xfId="0" applyFont="1" applyFill="1" applyBorder="1" applyAlignment="1">
      <alignment horizontal="center" vertical="center" textRotation="255" wrapText="1"/>
    </xf>
    <xf numFmtId="10" fontId="9" fillId="0" borderId="2" xfId="15" applyNumberFormat="1" applyFont="1" applyFill="1" applyBorder="1" applyAlignment="1">
      <alignment horizontal="center" vertical="center"/>
    </xf>
    <xf numFmtId="10" fontId="9" fillId="0" borderId="4" xfId="15" applyNumberFormat="1" applyFont="1" applyFill="1" applyBorder="1" applyAlignment="1">
      <alignment horizontal="center" vertical="center"/>
    </xf>
    <xf numFmtId="10" fontId="9" fillId="0" borderId="9" xfId="15" applyNumberFormat="1" applyFont="1" applyFill="1" applyBorder="1" applyAlignment="1">
      <alignment horizontal="center" vertical="center"/>
    </xf>
    <xf numFmtId="3" fontId="11" fillId="9" borderId="2" xfId="0" applyNumberFormat="1" applyFont="1" applyFill="1" applyBorder="1" applyAlignment="1">
      <alignment horizontal="right" vertical="center" wrapText="1"/>
    </xf>
    <xf numFmtId="3" fontId="11" fillId="9" borderId="4" xfId="0" applyNumberFormat="1" applyFont="1" applyFill="1" applyBorder="1" applyAlignment="1">
      <alignment horizontal="right" vertical="center" wrapText="1"/>
    </xf>
    <xf numFmtId="3" fontId="0" fillId="9" borderId="2" xfId="0" applyNumberFormat="1" applyFill="1" applyBorder="1" applyAlignment="1">
      <alignment horizontal="right" vertical="center"/>
    </xf>
    <xf numFmtId="3" fontId="0" fillId="9" borderId="4" xfId="0" applyNumberFormat="1" applyFill="1" applyBorder="1" applyAlignment="1">
      <alignment horizontal="right" vertical="center"/>
    </xf>
    <xf numFmtId="3" fontId="11" fillId="9" borderId="2" xfId="0" applyNumberFormat="1" applyFont="1" applyFill="1" applyBorder="1" applyAlignment="1">
      <alignment horizontal="center" vertical="center" wrapText="1"/>
    </xf>
    <xf numFmtId="3" fontId="11" fillId="9" borderId="9" xfId="0" applyNumberFormat="1" applyFont="1" applyFill="1" applyBorder="1" applyAlignment="1">
      <alignment horizontal="center" vertical="center" wrapText="1"/>
    </xf>
    <xf numFmtId="3" fontId="0" fillId="9" borderId="1" xfId="0" applyNumberFormat="1" applyFill="1" applyBorder="1" applyAlignment="1">
      <alignment horizontal="center" vertical="center"/>
    </xf>
    <xf numFmtId="0" fontId="8" fillId="0" borderId="1" xfId="0" applyFont="1" applyBorder="1" applyAlignment="1">
      <alignment horizontal="justify" vertical="top" wrapText="1"/>
    </xf>
    <xf numFmtId="3" fontId="11" fillId="9" borderId="9" xfId="0" applyNumberFormat="1" applyFont="1" applyFill="1" applyBorder="1" applyAlignment="1">
      <alignment horizontal="right" vertical="center" wrapText="1"/>
    </xf>
    <xf numFmtId="3" fontId="0" fillId="9" borderId="9" xfId="0" applyNumberFormat="1" applyFill="1" applyBorder="1" applyAlignment="1">
      <alignment horizontal="right" vertical="center"/>
    </xf>
    <xf numFmtId="0" fontId="6" fillId="8" borderId="2" xfId="2" applyNumberFormat="1" applyFont="1" applyFill="1" applyBorder="1" applyAlignment="1" applyProtection="1">
      <alignment horizontal="center" vertical="center" wrapText="1"/>
    </xf>
    <xf numFmtId="0" fontId="6" fillId="5" borderId="2" xfId="2" applyNumberFormat="1" applyFont="1" applyFill="1" applyBorder="1" applyAlignment="1" applyProtection="1">
      <alignment horizontal="center" vertical="center" wrapText="1"/>
    </xf>
    <xf numFmtId="0" fontId="9" fillId="0" borderId="2" xfId="0" applyFont="1" applyFill="1" applyBorder="1" applyAlignment="1">
      <alignment horizontal="justify" vertical="center" wrapText="1"/>
    </xf>
    <xf numFmtId="0" fontId="9" fillId="0" borderId="4" xfId="0" applyFont="1" applyFill="1" applyBorder="1" applyAlignment="1">
      <alignment horizontal="justify" vertical="center" wrapText="1"/>
    </xf>
    <xf numFmtId="0" fontId="8" fillId="9" borderId="2"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16" fillId="0" borderId="2" xfId="0" applyFont="1" applyFill="1" applyBorder="1" applyAlignment="1">
      <alignment horizontal="justify" vertical="center" wrapText="1"/>
    </xf>
    <xf numFmtId="0" fontId="16" fillId="0" borderId="4" xfId="0" applyFont="1" applyFill="1" applyBorder="1" applyAlignment="1">
      <alignment horizontal="justify" vertical="center" wrapText="1"/>
    </xf>
    <xf numFmtId="0" fontId="9" fillId="0" borderId="9" xfId="0" applyFont="1" applyFill="1" applyBorder="1" applyAlignment="1">
      <alignment horizontal="justify" vertical="center" wrapText="1"/>
    </xf>
    <xf numFmtId="0" fontId="0" fillId="9" borderId="4" xfId="0" applyFill="1" applyBorder="1" applyAlignment="1">
      <alignment horizontal="center" vertical="center" textRotation="255"/>
    </xf>
    <xf numFmtId="0" fontId="0" fillId="9" borderId="1" xfId="0" applyFill="1" applyBorder="1" applyAlignment="1">
      <alignment horizontal="center" vertical="center" textRotation="255"/>
    </xf>
    <xf numFmtId="0" fontId="0" fillId="9" borderId="2" xfId="0" applyFill="1" applyBorder="1" applyAlignment="1">
      <alignment horizontal="center" vertical="center" textRotation="255"/>
    </xf>
    <xf numFmtId="0" fontId="8" fillId="9" borderId="9" xfId="0" applyFont="1" applyFill="1" applyBorder="1" applyAlignment="1">
      <alignment horizontal="center" vertical="center" wrapText="1"/>
    </xf>
    <xf numFmtId="0" fontId="16" fillId="0" borderId="9" xfId="0" applyFont="1" applyFill="1" applyBorder="1" applyAlignment="1">
      <alignment horizontal="justify" vertical="center" wrapText="1"/>
    </xf>
    <xf numFmtId="0" fontId="16" fillId="0" borderId="2"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21" fillId="10" borderId="1" xfId="0" applyFont="1" applyFill="1" applyBorder="1" applyAlignment="1">
      <alignment horizontal="center" vertical="center" wrapText="1"/>
    </xf>
    <xf numFmtId="3" fontId="11" fillId="9" borderId="4" xfId="0" applyNumberFormat="1" applyFont="1" applyFill="1" applyBorder="1" applyAlignment="1">
      <alignment horizontal="center" vertical="center" wrapText="1"/>
    </xf>
    <xf numFmtId="0" fontId="0" fillId="0" borderId="2" xfId="0" applyBorder="1" applyAlignment="1">
      <alignment horizontal="center" vertical="top" wrapText="1"/>
    </xf>
    <xf numFmtId="0" fontId="0" fillId="0" borderId="4" xfId="0" applyBorder="1" applyAlignment="1">
      <alignment horizontal="center" vertical="top" wrapText="1"/>
    </xf>
    <xf numFmtId="0" fontId="8" fillId="0" borderId="2" xfId="0" applyFont="1" applyBorder="1" applyAlignment="1">
      <alignment horizontal="center" vertical="center" wrapText="1"/>
    </xf>
    <xf numFmtId="0" fontId="8" fillId="0" borderId="9"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 xfId="0" applyFont="1" applyBorder="1" applyAlignment="1">
      <alignment horizontal="justify" vertical="center" wrapText="1"/>
    </xf>
    <xf numFmtId="0" fontId="8" fillId="0" borderId="4" xfId="0" applyFont="1" applyBorder="1" applyAlignment="1">
      <alignment horizontal="justify" vertical="center" wrapText="1"/>
    </xf>
    <xf numFmtId="0" fontId="28" fillId="12" borderId="13" xfId="0" applyFont="1" applyFill="1" applyBorder="1" applyAlignment="1">
      <alignment horizontal="center"/>
    </xf>
    <xf numFmtId="0" fontId="29" fillId="0" borderId="13" xfId="0" applyFont="1" applyBorder="1" applyAlignment="1">
      <alignment horizontal="center" vertical="center"/>
    </xf>
    <xf numFmtId="0" fontId="0" fillId="0" borderId="13" xfId="0" applyBorder="1" applyAlignment="1">
      <alignment horizontal="center"/>
    </xf>
    <xf numFmtId="0" fontId="27" fillId="12" borderId="13" xfId="0" applyFont="1" applyFill="1" applyBorder="1" applyAlignment="1">
      <alignment horizontal="center" vertical="center"/>
    </xf>
    <xf numFmtId="0" fontId="18" fillId="0" borderId="13" xfId="0" applyFont="1" applyBorder="1" applyAlignment="1">
      <alignment horizontal="center"/>
    </xf>
    <xf numFmtId="0" fontId="0" fillId="0" borderId="9" xfId="0" applyBorder="1" applyAlignment="1">
      <alignment horizontal="center" vertical="center" textRotation="255"/>
    </xf>
    <xf numFmtId="0" fontId="9" fillId="0" borderId="2" xfId="0" applyFont="1" applyFill="1" applyBorder="1" applyAlignment="1">
      <alignment horizontal="center" vertical="top" wrapText="1"/>
    </xf>
    <xf numFmtId="0" fontId="9" fillId="0" borderId="9" xfId="0" applyFont="1" applyFill="1" applyBorder="1" applyAlignment="1">
      <alignment horizontal="center" vertical="top" wrapText="1"/>
    </xf>
    <xf numFmtId="0" fontId="9" fillId="0" borderId="4" xfId="0" applyFont="1" applyFill="1" applyBorder="1" applyAlignment="1">
      <alignment horizontal="center" vertical="top" wrapText="1"/>
    </xf>
    <xf numFmtId="0" fontId="22" fillId="10" borderId="1" xfId="0" applyFont="1" applyFill="1" applyBorder="1" applyAlignment="1">
      <alignment horizontal="center" vertical="center" wrapText="1"/>
    </xf>
    <xf numFmtId="0" fontId="30" fillId="5" borderId="1" xfId="2" applyNumberFormat="1" applyFont="1" applyFill="1" applyBorder="1" applyAlignment="1" applyProtection="1">
      <alignment horizontal="center" vertical="center" wrapText="1"/>
    </xf>
    <xf numFmtId="0" fontId="0" fillId="0" borderId="2" xfId="0" applyBorder="1" applyAlignment="1">
      <alignment horizontal="justify" vertical="center" wrapText="1"/>
    </xf>
    <xf numFmtId="0" fontId="0" fillId="0" borderId="4" xfId="0" applyBorder="1" applyAlignment="1">
      <alignment horizontal="justify" vertical="center" wrapText="1"/>
    </xf>
    <xf numFmtId="0" fontId="0" fillId="3" borderId="1" xfId="0" applyFill="1" applyBorder="1" applyAlignment="1">
      <alignment horizontal="center" vertical="center" wrapText="1"/>
    </xf>
    <xf numFmtId="0" fontId="30" fillId="6" borderId="1" xfId="2" applyNumberFormat="1" applyFont="1" applyFill="1" applyBorder="1" applyAlignment="1" applyProtection="1">
      <alignment horizontal="center" vertical="center" wrapText="1"/>
    </xf>
    <xf numFmtId="1" fontId="30" fillId="6" borderId="1" xfId="2" applyNumberFormat="1" applyFont="1" applyFill="1" applyBorder="1" applyAlignment="1" applyProtection="1">
      <alignment horizontal="center" vertical="center" wrapText="1"/>
    </xf>
    <xf numFmtId="0" fontId="0" fillId="0" borderId="6" xfId="0" applyBorder="1" applyAlignment="1">
      <alignment horizontal="center"/>
    </xf>
    <xf numFmtId="0" fontId="0" fillId="0" borderId="8" xfId="0" applyBorder="1" applyAlignment="1">
      <alignment horizontal="center"/>
    </xf>
    <xf numFmtId="0" fontId="0" fillId="0" borderId="2" xfId="0" applyBorder="1" applyAlignment="1">
      <alignment horizontal="center" vertical="center" textRotation="255"/>
    </xf>
    <xf numFmtId="0" fontId="0" fillId="0" borderId="4" xfId="0" applyBorder="1" applyAlignment="1">
      <alignment horizontal="center" vertical="center" textRotation="255"/>
    </xf>
    <xf numFmtId="0" fontId="8" fillId="3" borderId="1" xfId="0" applyFont="1" applyFill="1" applyBorder="1" applyAlignment="1">
      <alignment horizontal="center" vertical="center" wrapText="1"/>
    </xf>
    <xf numFmtId="0" fontId="9" fillId="0" borderId="1" xfId="0" applyFont="1" applyFill="1" applyBorder="1" applyAlignment="1">
      <alignment horizontal="left" vertical="top" wrapText="1"/>
    </xf>
    <xf numFmtId="0" fontId="0" fillId="0" borderId="1" xfId="0" applyBorder="1" applyAlignment="1">
      <alignment horizontal="center" vertical="center" textRotation="255"/>
    </xf>
    <xf numFmtId="0" fontId="0" fillId="0" borderId="2" xfId="0" applyFont="1" applyBorder="1" applyAlignment="1">
      <alignment vertical="center" wrapText="1"/>
    </xf>
    <xf numFmtId="0" fontId="0" fillId="0" borderId="9" xfId="0" applyFont="1" applyBorder="1" applyAlignment="1">
      <alignment vertical="center" wrapText="1"/>
    </xf>
    <xf numFmtId="0" fontId="0" fillId="0" borderId="4" xfId="0" applyFont="1" applyBorder="1" applyAlignment="1">
      <alignment vertical="center" wrapText="1"/>
    </xf>
    <xf numFmtId="0" fontId="0" fillId="0" borderId="2"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18" fillId="10" borderId="6" xfId="0" applyFont="1" applyFill="1" applyBorder="1" applyAlignment="1">
      <alignment horizontal="left" vertical="center" wrapText="1"/>
    </xf>
    <xf numFmtId="0" fontId="18" fillId="10" borderId="7" xfId="0" applyFont="1" applyFill="1" applyBorder="1" applyAlignment="1">
      <alignment horizontal="left" vertical="center" wrapText="1"/>
    </xf>
    <xf numFmtId="0" fontId="18" fillId="10" borderId="8" xfId="0" applyFont="1" applyFill="1" applyBorder="1" applyAlignment="1">
      <alignment horizontal="left" vertical="center" wrapText="1"/>
    </xf>
    <xf numFmtId="0" fontId="0" fillId="0" borderId="1" xfId="0" applyBorder="1" applyAlignment="1">
      <alignment horizontal="center" vertical="center" textRotation="255"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32" fillId="0" borderId="2" xfId="0" applyFont="1" applyFill="1" applyBorder="1" applyAlignment="1">
      <alignment horizontal="center" vertical="center" wrapText="1"/>
    </xf>
    <xf numFmtId="0" fontId="32" fillId="0" borderId="9" xfId="0" applyFont="1" applyFill="1" applyBorder="1" applyAlignment="1">
      <alignment horizontal="center" vertical="center" wrapText="1"/>
    </xf>
    <xf numFmtId="0" fontId="32"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33" fillId="12" borderId="1" xfId="0" applyFont="1" applyFill="1" applyBorder="1" applyAlignment="1">
      <alignment horizontal="center"/>
    </xf>
    <xf numFmtId="0" fontId="33" fillId="12" borderId="2" xfId="0" applyFont="1" applyFill="1" applyBorder="1" applyAlignment="1">
      <alignment horizontal="center"/>
    </xf>
    <xf numFmtId="0" fontId="43" fillId="12" borderId="1" xfId="0" applyFont="1" applyFill="1" applyBorder="1" applyAlignment="1">
      <alignment horizontal="center"/>
    </xf>
    <xf numFmtId="10" fontId="0" fillId="0" borderId="2" xfId="0" applyNumberFormat="1" applyBorder="1" applyAlignment="1">
      <alignment horizontal="center" vertical="center"/>
    </xf>
    <xf numFmtId="10" fontId="0" fillId="0" borderId="9" xfId="0" applyNumberFormat="1" applyBorder="1" applyAlignment="1">
      <alignment horizontal="center" vertical="center"/>
    </xf>
    <xf numFmtId="10" fontId="0" fillId="0" borderId="4" xfId="0" applyNumberFormat="1" applyBorder="1" applyAlignment="1">
      <alignment horizontal="center" vertical="center"/>
    </xf>
    <xf numFmtId="9" fontId="9" fillId="0" borderId="2" xfId="0" applyNumberFormat="1" applyFont="1" applyFill="1" applyBorder="1" applyAlignment="1">
      <alignment horizontal="center" vertical="center" wrapText="1"/>
    </xf>
    <xf numFmtId="10" fontId="0" fillId="0" borderId="1" xfId="15" applyNumberFormat="1" applyFont="1" applyBorder="1" applyAlignment="1">
      <alignment horizontal="center" vertical="center"/>
    </xf>
    <xf numFmtId="9" fontId="9" fillId="0" borderId="9" xfId="0" applyNumberFormat="1" applyFont="1" applyFill="1" applyBorder="1" applyAlignment="1">
      <alignment horizontal="center" vertical="center" wrapText="1"/>
    </xf>
    <xf numFmtId="10" fontId="0" fillId="0" borderId="2" xfId="15" applyNumberFormat="1" applyFont="1" applyBorder="1" applyAlignment="1">
      <alignment horizontal="center" vertical="center"/>
    </xf>
    <xf numFmtId="10" fontId="0" fillId="0" borderId="9" xfId="15" applyNumberFormat="1" applyFont="1" applyBorder="1" applyAlignment="1">
      <alignment horizontal="center" vertical="center"/>
    </xf>
    <xf numFmtId="9" fontId="9" fillId="0" borderId="4" xfId="0" applyNumberFormat="1" applyFont="1" applyFill="1" applyBorder="1" applyAlignment="1">
      <alignment horizontal="center" vertical="center" wrapText="1"/>
    </xf>
    <xf numFmtId="10" fontId="0" fillId="0" borderId="4" xfId="15" applyNumberFormat="1" applyFont="1" applyBorder="1" applyAlignment="1">
      <alignment horizontal="center" vertical="center"/>
    </xf>
    <xf numFmtId="0" fontId="9" fillId="0" borderId="2" xfId="0" applyFont="1" applyFill="1" applyBorder="1" applyAlignment="1">
      <alignment horizontal="justify" vertical="top" wrapText="1"/>
    </xf>
    <xf numFmtId="0" fontId="9" fillId="0" borderId="9" xfId="0" applyFont="1" applyFill="1" applyBorder="1" applyAlignment="1">
      <alignment horizontal="justify" vertical="top" wrapText="1"/>
    </xf>
    <xf numFmtId="0" fontId="9" fillId="0" borderId="4" xfId="0" applyFont="1" applyFill="1" applyBorder="1" applyAlignment="1">
      <alignment horizontal="justify" vertical="top" wrapText="1"/>
    </xf>
    <xf numFmtId="10" fontId="0" fillId="0" borderId="1" xfId="0" applyNumberFormat="1" applyBorder="1" applyAlignment="1">
      <alignment horizontal="center" vertical="center"/>
    </xf>
    <xf numFmtId="0" fontId="33" fillId="12" borderId="1"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9" fillId="0" borderId="9" xfId="0" applyFont="1" applyFill="1" applyBorder="1" applyAlignment="1">
      <alignment horizontal="left" vertical="center" wrapText="1"/>
    </xf>
    <xf numFmtId="0" fontId="9" fillId="0" borderId="4" xfId="0" applyFont="1" applyFill="1" applyBorder="1" applyAlignment="1">
      <alignment horizontal="left" vertical="center" wrapText="1"/>
    </xf>
    <xf numFmtId="9" fontId="9" fillId="0" borderId="1" xfId="0" applyNumberFormat="1" applyFont="1" applyFill="1" applyBorder="1" applyAlignment="1">
      <alignment horizontal="center" vertical="center" wrapText="1"/>
    </xf>
    <xf numFmtId="0" fontId="9" fillId="0" borderId="1" xfId="0" applyFont="1" applyFill="1" applyBorder="1" applyAlignment="1">
      <alignment horizontal="justify" vertical="center" wrapText="1"/>
    </xf>
    <xf numFmtId="9" fontId="0" fillId="0" borderId="1" xfId="15" applyFont="1" applyBorder="1" applyAlignment="1">
      <alignment horizontal="center" vertical="center"/>
    </xf>
    <xf numFmtId="0" fontId="9" fillId="0" borderId="1" xfId="0" applyFont="1" applyFill="1" applyBorder="1" applyAlignment="1">
      <alignment horizontal="justify" vertical="top" wrapText="1"/>
    </xf>
    <xf numFmtId="10" fontId="9" fillId="0" borderId="1" xfId="15" applyNumberFormat="1" applyFont="1" applyFill="1" applyBorder="1" applyAlignment="1">
      <alignment horizontal="center" vertical="center"/>
    </xf>
    <xf numFmtId="0" fontId="0" fillId="0" borderId="12" xfId="0" applyBorder="1" applyAlignment="1">
      <alignment horizontal="center"/>
    </xf>
    <xf numFmtId="0" fontId="43" fillId="12" borderId="6" xfId="0" applyFont="1" applyFill="1" applyBorder="1" applyAlignment="1">
      <alignment horizontal="center"/>
    </xf>
    <xf numFmtId="0" fontId="43" fillId="12" borderId="7" xfId="0" applyFont="1" applyFill="1" applyBorder="1" applyAlignment="1">
      <alignment horizontal="center"/>
    </xf>
    <xf numFmtId="0" fontId="43" fillId="12" borderId="8" xfId="0" applyFont="1" applyFill="1" applyBorder="1" applyAlignment="1">
      <alignment horizontal="center"/>
    </xf>
    <xf numFmtId="9" fontId="9" fillId="0" borderId="2" xfId="15" applyNumberFormat="1" applyFont="1" applyFill="1" applyBorder="1" applyAlignment="1">
      <alignment horizontal="center" vertical="center"/>
    </xf>
    <xf numFmtId="9" fontId="9" fillId="0" borderId="9" xfId="15" applyNumberFormat="1" applyFont="1" applyFill="1" applyBorder="1" applyAlignment="1">
      <alignment horizontal="center" vertical="center"/>
    </xf>
    <xf numFmtId="9" fontId="9" fillId="0" borderId="4" xfId="15" applyNumberFormat="1" applyFont="1" applyFill="1" applyBorder="1" applyAlignment="1">
      <alignment horizontal="center" vertical="center"/>
    </xf>
    <xf numFmtId="0" fontId="0" fillId="0" borderId="2" xfId="0" applyBorder="1" applyAlignment="1">
      <alignment horizontal="justify"/>
    </xf>
    <xf numFmtId="0" fontId="0" fillId="0" borderId="4" xfId="0" applyBorder="1" applyAlignment="1">
      <alignment horizontal="justify"/>
    </xf>
    <xf numFmtId="0" fontId="0" fillId="0" borderId="2" xfId="0" applyFont="1" applyBorder="1" applyAlignment="1">
      <alignment horizontal="justify" vertical="top" wrapText="1"/>
    </xf>
    <xf numFmtId="0" fontId="0" fillId="0" borderId="9" xfId="0" applyFont="1" applyBorder="1" applyAlignment="1">
      <alignment horizontal="justify" vertical="top" wrapText="1"/>
    </xf>
    <xf numFmtId="0" fontId="0" fillId="0" borderId="4" xfId="0" applyFont="1" applyBorder="1" applyAlignment="1">
      <alignment horizontal="justify" vertical="top" wrapText="1"/>
    </xf>
    <xf numFmtId="9" fontId="0" fillId="0" borderId="2" xfId="0" applyNumberFormat="1" applyFont="1" applyBorder="1" applyAlignment="1">
      <alignment horizontal="center" vertical="center" wrapText="1"/>
    </xf>
    <xf numFmtId="9" fontId="0" fillId="0" borderId="1" xfId="0" applyNumberFormat="1" applyBorder="1" applyAlignment="1">
      <alignment horizontal="center" vertical="center"/>
    </xf>
    <xf numFmtId="0" fontId="34" fillId="12" borderId="36" xfId="0" applyFont="1" applyFill="1" applyBorder="1" applyAlignment="1">
      <alignment horizontal="center" vertical="center"/>
    </xf>
    <xf numFmtId="0" fontId="34" fillId="12" borderId="37" xfId="0" applyFont="1" applyFill="1" applyBorder="1" applyAlignment="1">
      <alignment horizontal="center" vertical="center"/>
    </xf>
    <xf numFmtId="0" fontId="0" fillId="0" borderId="1" xfId="0" applyFont="1" applyBorder="1" applyAlignment="1">
      <alignment horizontal="justify" vertical="top" wrapText="1"/>
    </xf>
    <xf numFmtId="0" fontId="0" fillId="0" borderId="34" xfId="0" applyBorder="1" applyAlignment="1">
      <alignment horizontal="justify" vertical="center" wrapText="1"/>
    </xf>
    <xf numFmtId="0" fontId="0" fillId="0" borderId="1" xfId="0" applyBorder="1" applyAlignment="1">
      <alignment horizontal="justify" vertical="center" wrapText="1"/>
    </xf>
    <xf numFmtId="0" fontId="33" fillId="12" borderId="6" xfId="0" applyFont="1" applyFill="1" applyBorder="1" applyAlignment="1">
      <alignment horizontal="center" vertical="center" wrapText="1"/>
    </xf>
    <xf numFmtId="0" fontId="33" fillId="12" borderId="7" xfId="0" applyFont="1" applyFill="1" applyBorder="1" applyAlignment="1">
      <alignment horizontal="center" vertical="center" wrapText="1"/>
    </xf>
    <xf numFmtId="0" fontId="33" fillId="12" borderId="8" xfId="0" applyFont="1" applyFill="1" applyBorder="1" applyAlignment="1">
      <alignment horizontal="center" vertical="center" wrapText="1"/>
    </xf>
    <xf numFmtId="10" fontId="9" fillId="0" borderId="39" xfId="15" applyNumberFormat="1" applyFont="1" applyFill="1" applyBorder="1" applyAlignment="1">
      <alignment horizontal="center" vertical="center"/>
    </xf>
    <xf numFmtId="10" fontId="9" fillId="0" borderId="42" xfId="15" applyNumberFormat="1" applyFont="1" applyFill="1" applyBorder="1" applyAlignment="1">
      <alignment horizontal="center" vertical="center"/>
    </xf>
    <xf numFmtId="10" fontId="9" fillId="0" borderId="40" xfId="15" applyNumberFormat="1" applyFont="1" applyFill="1" applyBorder="1" applyAlignment="1">
      <alignment horizontal="center" vertical="center"/>
    </xf>
    <xf numFmtId="0" fontId="44" fillId="21" borderId="34" xfId="0" applyFont="1" applyFill="1" applyBorder="1" applyAlignment="1">
      <alignment horizontal="center" vertical="center"/>
    </xf>
    <xf numFmtId="0" fontId="44" fillId="21" borderId="1" xfId="0" applyFont="1" applyFill="1" applyBorder="1" applyAlignment="1">
      <alignment horizontal="center" vertical="center"/>
    </xf>
    <xf numFmtId="0" fontId="44" fillId="21" borderId="35" xfId="0" applyFont="1" applyFill="1" applyBorder="1" applyAlignment="1">
      <alignment horizontal="center" vertical="center"/>
    </xf>
    <xf numFmtId="0" fontId="33" fillId="12" borderId="41" xfId="0" applyFont="1" applyFill="1" applyBorder="1" applyAlignment="1">
      <alignment horizontal="center" vertical="center"/>
    </xf>
    <xf numFmtId="0" fontId="33" fillId="12" borderId="7" xfId="0" applyFont="1" applyFill="1" applyBorder="1" applyAlignment="1">
      <alignment horizontal="center" vertical="center"/>
    </xf>
    <xf numFmtId="0" fontId="33" fillId="12" borderId="8" xfId="0" applyFont="1" applyFill="1" applyBorder="1" applyAlignment="1">
      <alignment horizontal="center" vertical="center"/>
    </xf>
    <xf numFmtId="0" fontId="44" fillId="21" borderId="32" xfId="0" applyFont="1" applyFill="1" applyBorder="1" applyAlignment="1">
      <alignment horizontal="center" vertical="center"/>
    </xf>
    <xf numFmtId="0" fontId="44" fillId="21" borderId="11" xfId="0" applyFont="1" applyFill="1" applyBorder="1" applyAlignment="1">
      <alignment horizontal="center" vertical="center"/>
    </xf>
    <xf numFmtId="0" fontId="44" fillId="21" borderId="33" xfId="0" applyFont="1" applyFill="1" applyBorder="1" applyAlignment="1">
      <alignment horizontal="center" vertical="center"/>
    </xf>
    <xf numFmtId="0" fontId="34" fillId="12" borderId="34" xfId="0" applyFont="1" applyFill="1" applyBorder="1" applyAlignment="1">
      <alignment horizontal="center" vertical="center"/>
    </xf>
    <xf numFmtId="0" fontId="34" fillId="12" borderId="1" xfId="0" applyFont="1" applyFill="1" applyBorder="1" applyAlignment="1">
      <alignment horizontal="center" vertical="center"/>
    </xf>
    <xf numFmtId="9" fontId="9" fillId="0" borderId="11" xfId="15" applyFont="1" applyFill="1" applyBorder="1" applyAlignment="1">
      <alignment horizontal="center" vertical="center"/>
    </xf>
    <xf numFmtId="9" fontId="9" fillId="0" borderId="1" xfId="15" applyFont="1" applyFill="1" applyBorder="1" applyAlignment="1">
      <alignment horizontal="center" vertical="center"/>
    </xf>
    <xf numFmtId="0" fontId="0" fillId="0" borderId="0" xfId="0" applyAlignment="1">
      <alignment horizontal="center"/>
    </xf>
    <xf numFmtId="0" fontId="37" fillId="16" borderId="28" xfId="0" applyFont="1" applyFill="1" applyBorder="1" applyAlignment="1">
      <alignment horizontal="center" vertical="center" wrapText="1"/>
    </xf>
    <xf numFmtId="0" fontId="37" fillId="16" borderId="25" xfId="0" applyFont="1" applyFill="1" applyBorder="1" applyAlignment="1">
      <alignment horizontal="center" vertical="center" wrapText="1"/>
    </xf>
    <xf numFmtId="0" fontId="37" fillId="16" borderId="29" xfId="0" applyFont="1" applyFill="1" applyBorder="1" applyAlignment="1">
      <alignment horizontal="center" vertical="center" wrapText="1"/>
    </xf>
    <xf numFmtId="0" fontId="37" fillId="16" borderId="20" xfId="0" applyFont="1" applyFill="1" applyBorder="1" applyAlignment="1">
      <alignment horizontal="center" vertical="center" wrapText="1"/>
    </xf>
    <xf numFmtId="0" fontId="37" fillId="16" borderId="21" xfId="0" applyFont="1" applyFill="1" applyBorder="1" applyAlignment="1">
      <alignment horizontal="center" vertical="center" wrapText="1"/>
    </xf>
    <xf numFmtId="0" fontId="35" fillId="15" borderId="20" xfId="0" applyFont="1" applyFill="1" applyBorder="1" applyAlignment="1">
      <alignment horizontal="center" vertical="center" wrapText="1"/>
    </xf>
    <xf numFmtId="0" fontId="35" fillId="15" borderId="21" xfId="0" applyFont="1" applyFill="1" applyBorder="1" applyAlignment="1">
      <alignment horizontal="center" vertical="center" wrapText="1"/>
    </xf>
    <xf numFmtId="0" fontId="36" fillId="0" borderId="20" xfId="0" applyFont="1" applyBorder="1" applyAlignment="1">
      <alignment horizontal="center" vertical="center" textRotation="255"/>
    </xf>
    <xf numFmtId="0" fontId="36" fillId="0" borderId="26" xfId="0" applyFont="1" applyBorder="1" applyAlignment="1">
      <alignment horizontal="center" vertical="center" textRotation="255"/>
    </xf>
    <xf numFmtId="0" fontId="36" fillId="0" borderId="21" xfId="0" applyFont="1" applyBorder="1" applyAlignment="1">
      <alignment horizontal="center" vertical="center" textRotation="255"/>
    </xf>
    <xf numFmtId="0" fontId="37" fillId="0" borderId="20" xfId="0" applyFont="1" applyBorder="1" applyAlignment="1">
      <alignment horizontal="justify" vertical="center" wrapText="1"/>
    </xf>
    <xf numFmtId="0" fontId="37" fillId="0" borderId="26" xfId="0" applyFont="1" applyBorder="1" applyAlignment="1">
      <alignment horizontal="justify" vertical="center" wrapText="1"/>
    </xf>
    <xf numFmtId="0" fontId="37" fillId="0" borderId="21" xfId="0" applyFont="1" applyBorder="1" applyAlignment="1">
      <alignment horizontal="justify" vertical="center" wrapText="1"/>
    </xf>
    <xf numFmtId="0" fontId="35" fillId="15" borderId="19" xfId="0" applyFont="1" applyFill="1" applyBorder="1" applyAlignment="1">
      <alignment horizontal="center" vertical="center" wrapText="1"/>
    </xf>
    <xf numFmtId="0" fontId="35" fillId="15" borderId="28" xfId="0" applyFont="1" applyFill="1" applyBorder="1" applyAlignment="1">
      <alignment horizontal="center" vertical="center" wrapText="1"/>
    </xf>
    <xf numFmtId="0" fontId="35" fillId="15" borderId="25" xfId="0" applyFont="1" applyFill="1" applyBorder="1" applyAlignment="1">
      <alignment horizontal="center" vertical="center" wrapText="1"/>
    </xf>
    <xf numFmtId="0" fontId="35" fillId="15" borderId="22" xfId="0" applyFont="1" applyFill="1" applyBorder="1" applyAlignment="1">
      <alignment horizontal="center" vertical="center" wrapText="1"/>
    </xf>
    <xf numFmtId="0" fontId="37" fillId="17" borderId="28" xfId="0" applyFont="1" applyFill="1" applyBorder="1" applyAlignment="1">
      <alignment horizontal="center" vertical="center" wrapText="1"/>
    </xf>
    <xf numFmtId="0" fontId="37" fillId="17" borderId="25" xfId="0" applyFont="1" applyFill="1" applyBorder="1" applyAlignment="1">
      <alignment horizontal="center" vertical="center" wrapText="1"/>
    </xf>
    <xf numFmtId="0" fontId="37" fillId="17" borderId="22" xfId="0" applyFont="1" applyFill="1" applyBorder="1" applyAlignment="1">
      <alignment horizontal="center" vertical="center" wrapText="1"/>
    </xf>
    <xf numFmtId="0" fontId="37" fillId="0" borderId="20" xfId="0" applyFont="1" applyBorder="1" applyAlignment="1">
      <alignment vertical="center" wrapText="1"/>
    </xf>
    <xf numFmtId="0" fontId="37" fillId="0" borderId="30" xfId="0" applyFont="1" applyBorder="1" applyAlignment="1">
      <alignment vertical="center" wrapText="1"/>
    </xf>
    <xf numFmtId="0" fontId="37" fillId="0" borderId="26" xfId="0" applyFont="1" applyBorder="1" applyAlignment="1">
      <alignment vertical="center" wrapText="1"/>
    </xf>
    <xf numFmtId="0" fontId="37" fillId="0" borderId="21" xfId="0" applyFont="1" applyBorder="1" applyAlignment="1">
      <alignment vertical="center" wrapText="1"/>
    </xf>
    <xf numFmtId="0" fontId="37" fillId="17" borderId="20" xfId="0" applyFont="1" applyFill="1" applyBorder="1" applyAlignment="1">
      <alignment horizontal="center" vertical="center" wrapText="1"/>
    </xf>
    <xf numFmtId="0" fontId="37" fillId="17" borderId="30" xfId="0" applyFont="1" applyFill="1" applyBorder="1" applyAlignment="1">
      <alignment horizontal="center" vertical="center" wrapText="1"/>
    </xf>
    <xf numFmtId="0" fontId="37" fillId="17" borderId="21" xfId="0" applyFont="1" applyFill="1" applyBorder="1" applyAlignment="1">
      <alignment horizontal="center" vertical="center" wrapText="1"/>
    </xf>
    <xf numFmtId="0" fontId="39" fillId="0" borderId="20" xfId="0" applyFont="1" applyBorder="1" applyAlignment="1">
      <alignment horizontal="center" vertical="center" textRotation="255" wrapText="1"/>
    </xf>
    <xf numFmtId="0" fontId="39" fillId="0" borderId="26" xfId="0" applyFont="1" applyBorder="1" applyAlignment="1">
      <alignment horizontal="center" vertical="center" textRotation="255" wrapText="1"/>
    </xf>
    <xf numFmtId="0" fontId="39" fillId="0" borderId="30" xfId="0" applyFont="1" applyBorder="1" applyAlignment="1">
      <alignment horizontal="center" vertical="center" textRotation="255" wrapText="1"/>
    </xf>
    <xf numFmtId="0" fontId="40" fillId="0" borderId="31" xfId="0" applyFont="1" applyBorder="1" applyAlignment="1">
      <alignment horizontal="center" vertical="center" textRotation="255"/>
    </xf>
    <xf numFmtId="0" fontId="40" fillId="0" borderId="26" xfId="0" applyFont="1" applyBorder="1" applyAlignment="1">
      <alignment horizontal="center" vertical="center" textRotation="255"/>
    </xf>
    <xf numFmtId="0" fontId="40" fillId="0" borderId="21" xfId="0" applyFont="1" applyBorder="1" applyAlignment="1">
      <alignment horizontal="center" vertical="center" textRotation="255"/>
    </xf>
    <xf numFmtId="0" fontId="37" fillId="0" borderId="31" xfId="0" applyFont="1" applyBorder="1" applyAlignment="1">
      <alignment vertical="center" wrapText="1"/>
    </xf>
    <xf numFmtId="0" fontId="38" fillId="0" borderId="20" xfId="0" applyFont="1" applyBorder="1" applyAlignment="1">
      <alignment vertical="center" wrapText="1"/>
    </xf>
    <xf numFmtId="0" fontId="38" fillId="0" borderId="26" xfId="0" applyFont="1" applyBorder="1" applyAlignment="1">
      <alignment vertical="center" wrapText="1"/>
    </xf>
    <xf numFmtId="0" fontId="38" fillId="0" borderId="30" xfId="0" applyFont="1" applyBorder="1" applyAlignment="1">
      <alignment vertical="center" wrapText="1"/>
    </xf>
    <xf numFmtId="0" fontId="35" fillId="18" borderId="28" xfId="0" applyFont="1" applyFill="1" applyBorder="1" applyAlignment="1">
      <alignment horizontal="center" vertical="center" wrapText="1"/>
    </xf>
    <xf numFmtId="0" fontId="35" fillId="18" borderId="25" xfId="0" applyFont="1" applyFill="1" applyBorder="1" applyAlignment="1">
      <alignment horizontal="center" vertical="center" wrapText="1"/>
    </xf>
    <xf numFmtId="0" fontId="35" fillId="18" borderId="22" xfId="0" applyFont="1" applyFill="1" applyBorder="1" applyAlignment="1">
      <alignment horizontal="center" vertical="center" wrapText="1"/>
    </xf>
    <xf numFmtId="0" fontId="36" fillId="0" borderId="20" xfId="0" applyFont="1" applyBorder="1" applyAlignment="1">
      <alignment horizontal="center" vertical="center" textRotation="255" wrapText="1"/>
    </xf>
    <xf numFmtId="0" fontId="36" fillId="0" borderId="26" xfId="0" applyFont="1" applyBorder="1" applyAlignment="1">
      <alignment horizontal="center" vertical="center" textRotation="255" wrapText="1"/>
    </xf>
    <xf numFmtId="0" fontId="36" fillId="0" borderId="21" xfId="0" applyFont="1" applyBorder="1" applyAlignment="1">
      <alignment horizontal="center" vertical="center" textRotation="255" wrapText="1"/>
    </xf>
    <xf numFmtId="0" fontId="35" fillId="18" borderId="20" xfId="0" applyFont="1" applyFill="1" applyBorder="1" applyAlignment="1">
      <alignment horizontal="center" vertical="center" wrapText="1"/>
    </xf>
    <xf numFmtId="0" fontId="35" fillId="18" borderId="21" xfId="0" applyFont="1" applyFill="1" applyBorder="1" applyAlignment="1">
      <alignment horizontal="center" vertical="center" wrapText="1"/>
    </xf>
    <xf numFmtId="0" fontId="41" fillId="18" borderId="20" xfId="0" applyFont="1" applyFill="1" applyBorder="1" applyAlignment="1">
      <alignment horizontal="center" vertical="center" wrapText="1"/>
    </xf>
    <xf numFmtId="0" fontId="41" fillId="18" borderId="21" xfId="0" applyFont="1" applyFill="1" applyBorder="1" applyAlignment="1">
      <alignment horizontal="center" vertical="center" wrapText="1"/>
    </xf>
    <xf numFmtId="0" fontId="35" fillId="19" borderId="28" xfId="0" applyFont="1" applyFill="1" applyBorder="1" applyAlignment="1">
      <alignment horizontal="center" vertical="center" wrapText="1"/>
    </xf>
    <xf numFmtId="0" fontId="35" fillId="19" borderId="25" xfId="0" applyFont="1" applyFill="1" applyBorder="1" applyAlignment="1">
      <alignment horizontal="center" vertical="center" wrapText="1"/>
    </xf>
    <xf numFmtId="0" fontId="35" fillId="19" borderId="22" xfId="0" applyFont="1" applyFill="1" applyBorder="1" applyAlignment="1">
      <alignment horizontal="center" vertical="center" wrapText="1"/>
    </xf>
    <xf numFmtId="0" fontId="39" fillId="0" borderId="20" xfId="0" applyFont="1" applyBorder="1" applyAlignment="1">
      <alignment horizontal="center" vertical="center" textRotation="255"/>
    </xf>
    <xf numFmtId="0" fontId="39" fillId="0" borderId="26" xfId="0" applyFont="1" applyBorder="1" applyAlignment="1">
      <alignment horizontal="center" vertical="center" textRotation="255"/>
    </xf>
    <xf numFmtId="0" fontId="39" fillId="0" borderId="21" xfId="0" applyFont="1" applyBorder="1" applyAlignment="1">
      <alignment horizontal="center" vertical="center" textRotation="255"/>
    </xf>
    <xf numFmtId="0" fontId="35" fillId="19" borderId="20" xfId="0" applyFont="1" applyFill="1" applyBorder="1" applyAlignment="1">
      <alignment horizontal="center" vertical="center" wrapText="1"/>
    </xf>
    <xf numFmtId="0" fontId="35" fillId="19" borderId="21" xfId="0" applyFont="1" applyFill="1" applyBorder="1" applyAlignment="1">
      <alignment horizontal="center" vertical="center" wrapText="1"/>
    </xf>
  </cellXfs>
  <cellStyles count="16">
    <cellStyle name="40% - Énfasis5 2" xfId="3"/>
    <cellStyle name="Euro" xfId="4"/>
    <cellStyle name="Euro 2" xfId="5"/>
    <cellStyle name="Millares" xfId="1" builtinId="3"/>
    <cellStyle name="Millares 2" xfId="6"/>
    <cellStyle name="Millares 2 2" xfId="7"/>
    <cellStyle name="Millares 3" xfId="8"/>
    <cellStyle name="Millares 3 2" xfId="9"/>
    <cellStyle name="Normal" xfId="0" builtinId="0"/>
    <cellStyle name="Normal 2" xfId="10"/>
    <cellStyle name="Normal 2 2" xfId="11"/>
    <cellStyle name="Normal 2 2 2" xfId="12"/>
    <cellStyle name="Normal 3" xfId="13"/>
    <cellStyle name="Normal 4" xfId="14"/>
    <cellStyle name="Porcentaje" xfId="15" builtinId="5"/>
    <cellStyle name="TableStyleLight1" xfId="2"/>
  </cellStyles>
  <dxfs count="882">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ont>
        <color theme="0"/>
      </font>
      <fill>
        <patternFill>
          <bgColor theme="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s>
  <tableStyles count="0" defaultTableStyle="TableStyleMedium2" defaultPivotStyle="PivotStyleLight16"/>
  <colors>
    <mruColors>
      <color rgb="FFAD14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EFICACIA PLAN DE DESARROLLO </a:t>
            </a:r>
          </a:p>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SEGUNDO TRIMESTRE 2017</a:t>
            </a:r>
          </a:p>
        </c:rich>
      </c:tx>
      <c:overlay val="0"/>
      <c:spPr>
        <a:noFill/>
        <a:ln>
          <a:noFill/>
        </a:ln>
        <a:effectLst/>
      </c:spPr>
    </c:title>
    <c:autoTitleDeleted val="0"/>
    <c:view3D>
      <c:rotX val="0"/>
      <c:rotY val="0"/>
      <c:rAngAx val="0"/>
      <c:perspective val="1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9322850601121671E-2"/>
          <c:y val="0.17171296296296296"/>
          <c:w val="0.90472983430262688"/>
          <c:h val="0.67544020718935116"/>
        </c:manualLayout>
      </c:layout>
      <c:bar3DChart>
        <c:barDir val="col"/>
        <c:grouping val="clustered"/>
        <c:varyColors val="0"/>
        <c:ser>
          <c:idx val="0"/>
          <c:order val="0"/>
          <c:tx>
            <c:strRef>
              <c:f>'Ejecución $'!$N$60</c:f>
              <c:strCache>
                <c:ptCount val="1"/>
                <c:pt idx="0">
                  <c:v>EFICACIA</c:v>
                </c:pt>
              </c:strCache>
            </c:strRef>
          </c:tx>
          <c:spPr>
            <a:solidFill>
              <a:schemeClr val="accent1"/>
            </a:solidFill>
            <a:ln>
              <a:noFill/>
            </a:ln>
            <a:effectLst/>
            <a:sp3d/>
          </c:spPr>
          <c:invertIfNegative val="0"/>
          <c:dPt>
            <c:idx val="0"/>
            <c:invertIfNegative val="0"/>
            <c:bubble3D val="0"/>
            <c:spPr>
              <a:solidFill>
                <a:schemeClr val="accent2"/>
              </a:solidFill>
              <a:ln>
                <a:noFill/>
              </a:ln>
              <a:effectLst/>
              <a:sp3d/>
            </c:spPr>
          </c:dPt>
          <c:dPt>
            <c:idx val="1"/>
            <c:invertIfNegative val="0"/>
            <c:bubble3D val="0"/>
            <c:spPr>
              <a:solidFill>
                <a:srgbClr val="FFC000"/>
              </a:solidFill>
              <a:ln>
                <a:noFill/>
              </a:ln>
              <a:effectLst/>
              <a:sp3d/>
            </c:spPr>
          </c:dPt>
          <c:dPt>
            <c:idx val="2"/>
            <c:invertIfNegative val="0"/>
            <c:bubble3D val="0"/>
            <c:spPr>
              <a:solidFill>
                <a:srgbClr val="00B050"/>
              </a:solidFill>
              <a:ln>
                <a:noFill/>
              </a:ln>
              <a:effectLst/>
              <a:sp3d/>
            </c:spPr>
          </c:dPt>
          <c:dPt>
            <c:idx val="3"/>
            <c:invertIfNegative val="0"/>
            <c:bubble3D val="0"/>
            <c:spPr>
              <a:solidFill>
                <a:srgbClr val="0070C0"/>
              </a:solidFill>
              <a:ln>
                <a:noFill/>
              </a:ln>
              <a:effectLst/>
              <a:sp3d/>
            </c:spPr>
          </c:dPt>
          <c:dPt>
            <c:idx val="4"/>
            <c:invertIfNegative val="0"/>
            <c:bubble3D val="0"/>
            <c:spPr>
              <a:solidFill>
                <a:schemeClr val="accent6">
                  <a:lumMod val="75000"/>
                </a:schemeClr>
              </a:solidFill>
              <a:ln>
                <a:noFill/>
              </a:ln>
              <a:effectLst/>
              <a:sp3d/>
            </c:spPr>
          </c:dPt>
          <c:dPt>
            <c:idx val="5"/>
            <c:invertIfNegative val="0"/>
            <c:bubble3D val="0"/>
            <c:spPr>
              <a:solidFill>
                <a:schemeClr val="bg2">
                  <a:lumMod val="50000"/>
                </a:schemeClr>
              </a:solidFill>
              <a:ln>
                <a:noFill/>
              </a:ln>
              <a:effectLst/>
              <a:sp3d/>
            </c:spPr>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$'!$H$61:$H$66</c:f>
              <c:strCache>
                <c:ptCount val="6"/>
                <c:pt idx="0">
                  <c:v>FORMACION</c:v>
                </c:pt>
                <c:pt idx="1">
                  <c:v>INVESTIGACION</c:v>
                </c:pt>
                <c:pt idx="2">
                  <c:v>PROYECCION SOCIAL</c:v>
                </c:pt>
                <c:pt idx="3">
                  <c:v>BIENESTAR UNIVERSITARIO</c:v>
                </c:pt>
                <c:pt idx="4">
                  <c:v>ADMINISTRATIVO</c:v>
                </c:pt>
                <c:pt idx="5">
                  <c:v>PROMEDIO</c:v>
                </c:pt>
              </c:strCache>
            </c:strRef>
          </c:cat>
          <c:val>
            <c:numRef>
              <c:f>'Ejecución $'!$N$61:$N$66</c:f>
              <c:numCache>
                <c:formatCode>0.00%</c:formatCode>
                <c:ptCount val="6"/>
                <c:pt idx="0">
                  <c:v>0</c:v>
                </c:pt>
                <c:pt idx="1">
                  <c:v>0.61728395061728392</c:v>
                </c:pt>
                <c:pt idx="2">
                  <c:v>0.58333333333333337</c:v>
                </c:pt>
                <c:pt idx="3">
                  <c:v>0.75600873015873027</c:v>
                </c:pt>
                <c:pt idx="4">
                  <c:v>0.64520202020202022</c:v>
                </c:pt>
                <c:pt idx="5">
                  <c:v>0</c:v>
                </c:pt>
              </c:numCache>
            </c:numRef>
          </c:val>
        </c:ser>
        <c:dLbls>
          <c:showLegendKey val="0"/>
          <c:showVal val="0"/>
          <c:showCatName val="0"/>
          <c:showSerName val="0"/>
          <c:showPercent val="0"/>
          <c:showBubbleSize val="0"/>
        </c:dLbls>
        <c:gapWidth val="219"/>
        <c:shape val="box"/>
        <c:axId val="112605824"/>
        <c:axId val="112619904"/>
        <c:axId val="0"/>
      </c:bar3DChart>
      <c:catAx>
        <c:axId val="112605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crossAx val="112619904"/>
        <c:crosses val="autoZero"/>
        <c:auto val="1"/>
        <c:lblAlgn val="ctr"/>
        <c:lblOffset val="100"/>
        <c:noMultiLvlLbl val="0"/>
      </c:catAx>
      <c:valAx>
        <c:axId val="11261990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crossAx val="1126058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a:t>
            </a:r>
            <a:r>
              <a:rPr lang="es-CO" baseline="0">
                <a:solidFill>
                  <a:sysClr val="windowText" lastClr="000000"/>
                </a:solidFill>
              </a:rPr>
              <a:t> DEL PLAN DE DESARROLLO 2 TRIMESTRE 2017</a:t>
            </a:r>
            <a:endParaRPr lang="es-CO">
              <a:solidFill>
                <a:sysClr val="windowText" lastClr="000000"/>
              </a:solidFill>
            </a:endParaRP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'Ejecución $'!$M$60</c:f>
              <c:strCache>
                <c:ptCount val="1"/>
                <c:pt idx="0">
                  <c:v>EFICIENCIA</c:v>
                </c:pt>
              </c:strCache>
            </c:strRef>
          </c:tx>
          <c:spPr>
            <a:solidFill>
              <a:schemeClr val="accent1"/>
            </a:solidFill>
            <a:ln>
              <a:noFill/>
            </a:ln>
            <a:effectLst/>
            <a:sp3d/>
          </c:spPr>
          <c:invertIfNegative val="0"/>
          <c:dLbls>
            <c:dLbl>
              <c:idx val="0"/>
              <c:layout>
                <c:manualLayout>
                  <c:x val="-9.4007050528789795E-3"/>
                  <c:y val="-6.656265160446459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9.4007050528789379E-3"/>
                  <c:y val="-3.7441491527511306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8.736348023085971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4007050528789656E-3"/>
                  <c:y val="-3.8134411949743502E-17"/>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0967489228358794E-2"/>
                  <c:y val="-2.0800828626395172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2534273403838621E-2"/>
                  <c:y val="-3.7441491527511271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$'!$H$61:$H$65</c:f>
              <c:strCache>
                <c:ptCount val="5"/>
                <c:pt idx="0">
                  <c:v>FORMACION</c:v>
                </c:pt>
                <c:pt idx="1">
                  <c:v>INVESTIGACION</c:v>
                </c:pt>
                <c:pt idx="2">
                  <c:v>PROYECCION SOCIAL</c:v>
                </c:pt>
                <c:pt idx="3">
                  <c:v>BIENESTAR UNIVERSITARIO</c:v>
                </c:pt>
                <c:pt idx="4">
                  <c:v>ADMINISTRATIVO</c:v>
                </c:pt>
              </c:strCache>
            </c:strRef>
          </c:cat>
          <c:val>
            <c:numRef>
              <c:f>'Ejecución $'!$M$61:$M$65</c:f>
              <c:numCache>
                <c:formatCode>0.00%</c:formatCode>
                <c:ptCount val="5"/>
                <c:pt idx="0">
                  <c:v>0</c:v>
                </c:pt>
                <c:pt idx="1">
                  <c:v>0.35874588497640852</c:v>
                </c:pt>
                <c:pt idx="2">
                  <c:v>0.56533370365642788</c:v>
                </c:pt>
                <c:pt idx="3">
                  <c:v>0.58391584321099044</c:v>
                </c:pt>
                <c:pt idx="4">
                  <c:v>0</c:v>
                </c:pt>
              </c:numCache>
            </c:numRef>
          </c:val>
        </c:ser>
        <c:ser>
          <c:idx val="1"/>
          <c:order val="1"/>
          <c:tx>
            <c:strRef>
              <c:f>'Ejecución $'!$N$60</c:f>
              <c:strCache>
                <c:ptCount val="1"/>
                <c:pt idx="0">
                  <c:v>EFICACIA</c:v>
                </c:pt>
              </c:strCache>
            </c:strRef>
          </c:tx>
          <c:spPr>
            <a:solidFill>
              <a:schemeClr val="accent2"/>
            </a:solidFill>
            <a:ln>
              <a:noFill/>
            </a:ln>
            <a:effectLst/>
            <a:sp3d/>
          </c:spPr>
          <c:invertIfNegative val="0"/>
          <c:dLbls>
            <c:dLbl>
              <c:idx val="0"/>
              <c:layout>
                <c:manualLayout>
                  <c:x val="7.8339208773991389E-3"/>
                  <c:y val="-4.1601657252790344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1.4101057579318392E-2"/>
                  <c:y val="-7.4882983055022695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9.4007050528789656E-3"/>
                  <c:y val="-7.4882983055022612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4101057579318449E-2"/>
                  <c:y val="-3.7441491527511306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4101057579318449E-2"/>
                  <c:y val="-4.1601657252790358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0967489228358794E-2"/>
                  <c:y val="-5.4082154428627481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$'!$H$61:$H$65</c:f>
              <c:strCache>
                <c:ptCount val="5"/>
                <c:pt idx="0">
                  <c:v>FORMACION</c:v>
                </c:pt>
                <c:pt idx="1">
                  <c:v>INVESTIGACION</c:v>
                </c:pt>
                <c:pt idx="2">
                  <c:v>PROYECCION SOCIAL</c:v>
                </c:pt>
                <c:pt idx="3">
                  <c:v>BIENESTAR UNIVERSITARIO</c:v>
                </c:pt>
                <c:pt idx="4">
                  <c:v>ADMINISTRATIVO</c:v>
                </c:pt>
              </c:strCache>
            </c:strRef>
          </c:cat>
          <c:val>
            <c:numRef>
              <c:f>'Ejecución $'!$N$61:$N$65</c:f>
              <c:numCache>
                <c:formatCode>0.00%</c:formatCode>
                <c:ptCount val="5"/>
                <c:pt idx="0">
                  <c:v>0</c:v>
                </c:pt>
                <c:pt idx="1">
                  <c:v>0.61728395061728392</c:v>
                </c:pt>
                <c:pt idx="2">
                  <c:v>0.58333333333333337</c:v>
                </c:pt>
                <c:pt idx="3">
                  <c:v>0.75600873015873027</c:v>
                </c:pt>
                <c:pt idx="4">
                  <c:v>0.64520202020202022</c:v>
                </c:pt>
              </c:numCache>
            </c:numRef>
          </c:val>
        </c:ser>
        <c:ser>
          <c:idx val="2"/>
          <c:order val="2"/>
          <c:tx>
            <c:strRef>
              <c:f>'Ejecución $'!$O$60</c:f>
              <c:strCache>
                <c:ptCount val="1"/>
                <c:pt idx="0">
                  <c:v>EFECTIVIDAD</c:v>
                </c:pt>
              </c:strCache>
            </c:strRef>
          </c:tx>
          <c:spPr>
            <a:solidFill>
              <a:schemeClr val="accent3"/>
            </a:solidFill>
            <a:ln>
              <a:noFill/>
            </a:ln>
            <a:effectLst/>
            <a:sp3d/>
          </c:spPr>
          <c:invertIfNegative val="0"/>
          <c:dLbls>
            <c:dLbl>
              <c:idx val="0"/>
              <c:layout>
                <c:manualLayout>
                  <c:x val="2.3501762632197443E-2"/>
                  <c:y val="-4.9921988703348408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3.1335683509596493E-2"/>
                  <c:y val="-3.3281325802232274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3.6036036036036036E-2"/>
                  <c:y val="-8.736348023085971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3.2902467685076264E-2"/>
                  <c:y val="-6.240248587918551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3.7602820211515751E-2"/>
                  <c:y val="-2.4960994351674242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4.0736388562475516E-2"/>
                  <c:y val="-2.496099435167420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$'!$H$61:$H$65</c:f>
              <c:strCache>
                <c:ptCount val="5"/>
                <c:pt idx="0">
                  <c:v>FORMACION</c:v>
                </c:pt>
                <c:pt idx="1">
                  <c:v>INVESTIGACION</c:v>
                </c:pt>
                <c:pt idx="2">
                  <c:v>PROYECCION SOCIAL</c:v>
                </c:pt>
                <c:pt idx="3">
                  <c:v>BIENESTAR UNIVERSITARIO</c:v>
                </c:pt>
                <c:pt idx="4">
                  <c:v>ADMINISTRATIVO</c:v>
                </c:pt>
              </c:strCache>
            </c:strRef>
          </c:cat>
          <c:val>
            <c:numRef>
              <c:f>'Ejecución $'!$O$61:$O$65</c:f>
              <c:numCache>
                <c:formatCode>0.00%</c:formatCode>
                <c:ptCount val="5"/>
                <c:pt idx="0">
                  <c:v>0</c:v>
                </c:pt>
                <c:pt idx="1">
                  <c:v>0.48801491779684625</c:v>
                </c:pt>
                <c:pt idx="2">
                  <c:v>0.57433351849488057</c:v>
                </c:pt>
                <c:pt idx="3">
                  <c:v>0.66996228668486024</c:v>
                </c:pt>
                <c:pt idx="4">
                  <c:v>0</c:v>
                </c:pt>
              </c:numCache>
            </c:numRef>
          </c:val>
        </c:ser>
        <c:dLbls>
          <c:showLegendKey val="0"/>
          <c:showVal val="0"/>
          <c:showCatName val="0"/>
          <c:showSerName val="0"/>
          <c:showPercent val="0"/>
          <c:showBubbleSize val="0"/>
        </c:dLbls>
        <c:gapWidth val="150"/>
        <c:shape val="box"/>
        <c:axId val="112942080"/>
        <c:axId val="112968448"/>
        <c:axId val="0"/>
      </c:bar3DChart>
      <c:catAx>
        <c:axId val="11294208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crossAx val="112968448"/>
        <c:crosses val="autoZero"/>
        <c:auto val="1"/>
        <c:lblAlgn val="ctr"/>
        <c:lblOffset val="100"/>
        <c:noMultiLvlLbl val="0"/>
      </c:catAx>
      <c:valAx>
        <c:axId val="11296844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crossAx val="1129420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CUMPLIMIENTO SUBSISTEMA FORMACIÓN</a:t>
            </a:r>
          </a:p>
        </c:rich>
      </c:tx>
      <c:layout>
        <c:manualLayout>
          <c:xMode val="edge"/>
          <c:yMode val="edge"/>
          <c:x val="0.2929665209941667"/>
          <c:y val="0"/>
        </c:manualLayout>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7146230804279028E-2"/>
          <c:y val="0.22160113061832523"/>
          <c:w val="0.90655385069531347"/>
          <c:h val="0.60732316208809844"/>
        </c:manualLayout>
      </c:layout>
      <c:bar3DChart>
        <c:barDir val="col"/>
        <c:grouping val="clustered"/>
        <c:varyColors val="0"/>
        <c:ser>
          <c:idx val="0"/>
          <c:order val="0"/>
          <c:tx>
            <c:strRef>
              <c:f>'Ejecución $'!$M$2</c:f>
              <c:strCache>
                <c:ptCount val="1"/>
                <c:pt idx="0">
                  <c:v>EFICIENCIA</c:v>
                </c:pt>
              </c:strCache>
            </c:strRef>
          </c:tx>
          <c:spPr>
            <a:solidFill>
              <a:schemeClr val="accent1"/>
            </a:solidFill>
            <a:ln>
              <a:noFill/>
            </a:ln>
            <a:effectLst/>
            <a:sp3d/>
          </c:spPr>
          <c:invertIfNegative val="0"/>
          <c:dLbls>
            <c:dLbl>
              <c:idx val="0"/>
              <c:layout>
                <c:manualLayout>
                  <c:x val="-2.4449877750611262E-2"/>
                  <c:y val="-4.2697713028579116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1.3039934800326029E-2"/>
                  <c:y val="-3.1052882202602942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4669926650366748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7799511002445577E-3"/>
                  <c:y val="-1.9408051376626836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3039934800325998E-2"/>
                  <c:y val="-2.3289661651952225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6299918500407497E-2"/>
                  <c:y val="-3.4934492477928306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$'!$H$3:$H$9</c:f>
              <c:strCache>
                <c:ptCount val="7"/>
                <c:pt idx="0">
                  <c:v>SF-PY1</c:v>
                </c:pt>
                <c:pt idx="1">
                  <c:v>SF-PY2</c:v>
                </c:pt>
                <c:pt idx="2">
                  <c:v>SF-PY3</c:v>
                </c:pt>
                <c:pt idx="3">
                  <c:v>SF-PY4</c:v>
                </c:pt>
                <c:pt idx="4">
                  <c:v>SF-PY5</c:v>
                </c:pt>
                <c:pt idx="5">
                  <c:v>SF-PY6</c:v>
                </c:pt>
                <c:pt idx="6">
                  <c:v>SF-PY7</c:v>
                </c:pt>
              </c:strCache>
            </c:strRef>
          </c:cat>
          <c:val>
            <c:numRef>
              <c:f>'Ejecución $'!$M$3:$M$9</c:f>
              <c:numCache>
                <c:formatCode>0.00%</c:formatCode>
                <c:ptCount val="7"/>
                <c:pt idx="0">
                  <c:v>0</c:v>
                </c:pt>
                <c:pt idx="1">
                  <c:v>0</c:v>
                </c:pt>
                <c:pt idx="2">
                  <c:v>0</c:v>
                </c:pt>
                <c:pt idx="3">
                  <c:v>0</c:v>
                </c:pt>
                <c:pt idx="4">
                  <c:v>0</c:v>
                </c:pt>
                <c:pt idx="5">
                  <c:v>0</c:v>
                </c:pt>
                <c:pt idx="6">
                  <c:v>0</c:v>
                </c:pt>
              </c:numCache>
            </c:numRef>
          </c:val>
        </c:ser>
        <c:ser>
          <c:idx val="1"/>
          <c:order val="1"/>
          <c:tx>
            <c:strRef>
              <c:f>'Ejecución $'!$N$2</c:f>
              <c:strCache>
                <c:ptCount val="1"/>
                <c:pt idx="0">
                  <c:v>EFICACIA</c:v>
                </c:pt>
              </c:strCache>
            </c:strRef>
          </c:tx>
          <c:spPr>
            <a:solidFill>
              <a:schemeClr val="accent2"/>
            </a:solidFill>
            <a:ln>
              <a:noFill/>
            </a:ln>
            <a:effectLst/>
            <a:sp3d/>
          </c:spPr>
          <c:invertIfNegative val="0"/>
          <c:dLbls>
            <c:dLbl>
              <c:idx val="0"/>
              <c:layout>
                <c:manualLayout>
                  <c:x val="1.9559902200488997E-2"/>
                  <c:y val="-0.1125666979844356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9.7799511002444398E-3"/>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4669926650366689E-2"/>
                  <c:y val="-7.3750595231181978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9.7799511002444987E-3"/>
                  <c:y val="-3.2787075643720749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3039934800325998E-2"/>
                  <c:y val="-4.6579323303904421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2.4449877750611367E-2"/>
                  <c:y val="-0.23289661651952207"/>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$'!$H$3:$H$9</c:f>
              <c:strCache>
                <c:ptCount val="7"/>
                <c:pt idx="0">
                  <c:v>SF-PY1</c:v>
                </c:pt>
                <c:pt idx="1">
                  <c:v>SF-PY2</c:v>
                </c:pt>
                <c:pt idx="2">
                  <c:v>SF-PY3</c:v>
                </c:pt>
                <c:pt idx="3">
                  <c:v>SF-PY4</c:v>
                </c:pt>
                <c:pt idx="4">
                  <c:v>SF-PY5</c:v>
                </c:pt>
                <c:pt idx="5">
                  <c:v>SF-PY6</c:v>
                </c:pt>
                <c:pt idx="6">
                  <c:v>SF-PY7</c:v>
                </c:pt>
              </c:strCache>
            </c:strRef>
          </c:cat>
          <c:val>
            <c:numRef>
              <c:f>'Ejecución $'!$N$3:$N$9</c:f>
              <c:numCache>
                <c:formatCode>0.00%</c:formatCode>
                <c:ptCount val="7"/>
                <c:pt idx="0">
                  <c:v>0</c:v>
                </c:pt>
                <c:pt idx="1">
                  <c:v>0</c:v>
                </c:pt>
                <c:pt idx="2">
                  <c:v>0</c:v>
                </c:pt>
                <c:pt idx="3">
                  <c:v>0</c:v>
                </c:pt>
                <c:pt idx="4">
                  <c:v>0</c:v>
                </c:pt>
                <c:pt idx="5">
                  <c:v>0</c:v>
                </c:pt>
                <c:pt idx="6">
                  <c:v>0</c:v>
                </c:pt>
              </c:numCache>
            </c:numRef>
          </c:val>
        </c:ser>
        <c:ser>
          <c:idx val="2"/>
          <c:order val="2"/>
          <c:tx>
            <c:strRef>
              <c:f>'Ejecución $'!$O$2</c:f>
              <c:strCache>
                <c:ptCount val="1"/>
                <c:pt idx="0">
                  <c:v>EFECTIVIDAD</c:v>
                </c:pt>
              </c:strCache>
            </c:strRef>
          </c:tx>
          <c:spPr>
            <a:solidFill>
              <a:schemeClr val="accent3"/>
            </a:solidFill>
            <a:ln>
              <a:noFill/>
            </a:ln>
            <a:effectLst/>
            <a:sp3d/>
          </c:spPr>
          <c:invertIfNegative val="0"/>
          <c:dLbls>
            <c:dLbl>
              <c:idx val="0"/>
              <c:layout>
                <c:manualLayout>
                  <c:x val="4.4009779951100211E-2"/>
                  <c:y val="-7.763220550650771E-3"/>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2.6079869600651995E-2"/>
                  <c:y val="-7.3750595231181978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2.9339853300733496E-2"/>
                  <c:y val="-1.1644830825976138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2.1189894050529748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3.9119804400977995E-2"/>
                  <c:y val="-2.3289661651952204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4.5639771801140996E-2"/>
                  <c:y val="-3.8816102753253715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5.5419722901385374E-2"/>
                  <c:y val="-4.26977130285790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$'!$H$3:$H$9</c:f>
              <c:strCache>
                <c:ptCount val="7"/>
                <c:pt idx="0">
                  <c:v>SF-PY1</c:v>
                </c:pt>
                <c:pt idx="1">
                  <c:v>SF-PY2</c:v>
                </c:pt>
                <c:pt idx="2">
                  <c:v>SF-PY3</c:v>
                </c:pt>
                <c:pt idx="3">
                  <c:v>SF-PY4</c:v>
                </c:pt>
                <c:pt idx="4">
                  <c:v>SF-PY5</c:v>
                </c:pt>
                <c:pt idx="5">
                  <c:v>SF-PY6</c:v>
                </c:pt>
                <c:pt idx="6">
                  <c:v>SF-PY7</c:v>
                </c:pt>
              </c:strCache>
            </c:strRef>
          </c:cat>
          <c:val>
            <c:numRef>
              <c:f>'Ejecución $'!$O$3:$O$9</c:f>
              <c:numCache>
                <c:formatCode>0.00%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50"/>
        <c:shape val="box"/>
        <c:axId val="112709632"/>
        <c:axId val="112711168"/>
        <c:axId val="0"/>
      </c:bar3DChart>
      <c:catAx>
        <c:axId val="11270963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12711168"/>
        <c:crosses val="autoZero"/>
        <c:auto val="1"/>
        <c:lblAlgn val="ctr"/>
        <c:lblOffset val="100"/>
        <c:noMultiLvlLbl val="0"/>
      </c:catAx>
      <c:valAx>
        <c:axId val="11271116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127096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CUMPLIMIENTO SUBSISTEMA INVESTIGACIÓN</a:t>
            </a:r>
          </a:p>
        </c:rich>
      </c:tx>
      <c:layout>
        <c:manualLayout>
          <c:xMode val="edge"/>
          <c:yMode val="edge"/>
          <c:x val="0.2929665209941667"/>
          <c:y val="0"/>
        </c:manualLayout>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7146230804279028E-2"/>
          <c:y val="0.22160113061832523"/>
          <c:w val="0.90655385069531347"/>
          <c:h val="0.60732316208809844"/>
        </c:manualLayout>
      </c:layout>
      <c:bar3DChart>
        <c:barDir val="col"/>
        <c:grouping val="clustered"/>
        <c:varyColors val="0"/>
        <c:ser>
          <c:idx val="0"/>
          <c:order val="0"/>
          <c:tx>
            <c:strRef>
              <c:f>'Ejecución $'!$M$13</c:f>
              <c:strCache>
                <c:ptCount val="1"/>
                <c:pt idx="0">
                  <c:v>EFICIENCIA</c:v>
                </c:pt>
              </c:strCache>
            </c:strRef>
          </c:tx>
          <c:spPr>
            <a:solidFill>
              <a:schemeClr val="accent1"/>
            </a:solidFill>
            <a:ln>
              <a:noFill/>
            </a:ln>
            <a:effectLst/>
            <a:sp3d/>
          </c:spPr>
          <c:invertIfNegative val="0"/>
          <c:dLbls>
            <c:dLbl>
              <c:idx val="0"/>
              <c:layout>
                <c:manualLayout>
                  <c:x val="-2.4449877750611262E-2"/>
                  <c:y val="-4.2697713028579116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9.7799511002445282E-3"/>
                  <c:y val="-7.3750595231182062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4669926650366748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7799511002445577E-3"/>
                  <c:y val="-1.9408051376626836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6299918500407497E-3"/>
                  <c:y val="-6.9868984955856611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6299918500407497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2.6079869600652117E-2"/>
                  <c:y val="-5.4342543854555149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$'!$H$14:$H$22</c:f>
              <c:strCache>
                <c:ptCount val="9"/>
                <c:pt idx="0">
                  <c:v>SI-PY1</c:v>
                </c:pt>
                <c:pt idx="1">
                  <c:v>SI-PY2</c:v>
                </c:pt>
                <c:pt idx="2">
                  <c:v>SI-PY3</c:v>
                </c:pt>
                <c:pt idx="3">
                  <c:v>SI-PY4</c:v>
                </c:pt>
                <c:pt idx="4">
                  <c:v>SI-PY5</c:v>
                </c:pt>
                <c:pt idx="5">
                  <c:v>SI-PY6</c:v>
                </c:pt>
                <c:pt idx="6">
                  <c:v>SI-PY7</c:v>
                </c:pt>
                <c:pt idx="7">
                  <c:v>SI-PY8</c:v>
                </c:pt>
                <c:pt idx="8">
                  <c:v>SI-PY9</c:v>
                </c:pt>
              </c:strCache>
            </c:strRef>
          </c:cat>
          <c:val>
            <c:numRef>
              <c:f>'Ejecución $'!$M$14:$M$22</c:f>
              <c:numCache>
                <c:formatCode>0.00%</c:formatCode>
                <c:ptCount val="9"/>
                <c:pt idx="0">
                  <c:v>0.40459828964326655</c:v>
                </c:pt>
                <c:pt idx="1">
                  <c:v>0.45194000158356507</c:v>
                </c:pt>
                <c:pt idx="2">
                  <c:v>0.4827364375</c:v>
                </c:pt>
                <c:pt idx="3">
                  <c:v>0.27925458260869568</c:v>
                </c:pt>
                <c:pt idx="4">
                  <c:v>0.4304039811187082</c:v>
                </c:pt>
                <c:pt idx="5">
                  <c:v>0</c:v>
                </c:pt>
                <c:pt idx="6">
                  <c:v>0</c:v>
                </c:pt>
                <c:pt idx="7">
                  <c:v>0.63467333846153851</c:v>
                </c:pt>
                <c:pt idx="8">
                  <c:v>0.54510633387190255</c:v>
                </c:pt>
              </c:numCache>
            </c:numRef>
          </c:val>
        </c:ser>
        <c:ser>
          <c:idx val="1"/>
          <c:order val="1"/>
          <c:tx>
            <c:strRef>
              <c:f>'Ejecución $'!$N$13</c:f>
              <c:strCache>
                <c:ptCount val="1"/>
                <c:pt idx="0">
                  <c:v>EFICACIA</c:v>
                </c:pt>
              </c:strCache>
            </c:strRef>
          </c:tx>
          <c:spPr>
            <a:solidFill>
              <a:schemeClr val="accent2"/>
            </a:solidFill>
            <a:ln>
              <a:noFill/>
            </a:ln>
            <a:effectLst/>
            <a:sp3d/>
          </c:spPr>
          <c:invertIfNegative val="0"/>
          <c:dLbls>
            <c:dLbl>
              <c:idx val="0"/>
              <c:layout>
                <c:manualLayout>
                  <c:x val="1.9559902200488997E-2"/>
                  <c:y val="-0.1125666979844356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3039934800325939E-2"/>
                  <c:y val="-5.4342543854555149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4669926650366689E-2"/>
                  <c:y val="-7.3750595231181978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4.4009779951100246E-2"/>
                  <c:y val="-5.995834757099832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3039934800325998E-2"/>
                  <c:y val="-4.6579323303904421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2.4449877750611367E-2"/>
                  <c:y val="-0.23289661651952207"/>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1.7929910350448247E-2"/>
                  <c:y val="-8.1513815781832713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$'!$H$14:$H$22</c:f>
              <c:strCache>
                <c:ptCount val="9"/>
                <c:pt idx="0">
                  <c:v>SI-PY1</c:v>
                </c:pt>
                <c:pt idx="1">
                  <c:v>SI-PY2</c:v>
                </c:pt>
                <c:pt idx="2">
                  <c:v>SI-PY3</c:v>
                </c:pt>
                <c:pt idx="3">
                  <c:v>SI-PY4</c:v>
                </c:pt>
                <c:pt idx="4">
                  <c:v>SI-PY5</c:v>
                </c:pt>
                <c:pt idx="5">
                  <c:v>SI-PY6</c:v>
                </c:pt>
                <c:pt idx="6">
                  <c:v>SI-PY7</c:v>
                </c:pt>
                <c:pt idx="7">
                  <c:v>SI-PY8</c:v>
                </c:pt>
                <c:pt idx="8">
                  <c:v>SI-PY9</c:v>
                </c:pt>
              </c:strCache>
            </c:strRef>
          </c:cat>
          <c:val>
            <c:numRef>
              <c:f>'Ejecución $'!$N$14:$N$22</c:f>
              <c:numCache>
                <c:formatCode>0.00%</c:formatCode>
                <c:ptCount val="9"/>
                <c:pt idx="0">
                  <c:v>1</c:v>
                </c:pt>
                <c:pt idx="1">
                  <c:v>0.55555555555555558</c:v>
                </c:pt>
                <c:pt idx="2">
                  <c:v>0.75</c:v>
                </c:pt>
                <c:pt idx="3">
                  <c:v>0.5</c:v>
                </c:pt>
                <c:pt idx="4">
                  <c:v>0.5</c:v>
                </c:pt>
                <c:pt idx="5">
                  <c:v>0.5</c:v>
                </c:pt>
                <c:pt idx="6">
                  <c:v>0</c:v>
                </c:pt>
                <c:pt idx="7">
                  <c:v>1</c:v>
                </c:pt>
                <c:pt idx="8">
                  <c:v>0.75</c:v>
                </c:pt>
              </c:numCache>
            </c:numRef>
          </c:val>
        </c:ser>
        <c:ser>
          <c:idx val="2"/>
          <c:order val="2"/>
          <c:tx>
            <c:strRef>
              <c:f>'Ejecución $'!$O$13</c:f>
              <c:strCache>
                <c:ptCount val="1"/>
                <c:pt idx="0">
                  <c:v>EFECTIVIDAD</c:v>
                </c:pt>
              </c:strCache>
            </c:strRef>
          </c:tx>
          <c:spPr>
            <a:solidFill>
              <a:schemeClr val="accent3"/>
            </a:solidFill>
            <a:ln>
              <a:noFill/>
            </a:ln>
            <a:effectLst/>
            <a:sp3d/>
          </c:spPr>
          <c:invertIfNegative val="0"/>
          <c:dLbls>
            <c:dLbl>
              <c:idx val="0"/>
              <c:layout>
                <c:manualLayout>
                  <c:x val="4.4009779951100211E-2"/>
                  <c:y val="-7.763220550650771E-3"/>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2.4449877750611249E-2"/>
                  <c:y val="-0.1203299185350864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2.9339853300733496E-2"/>
                  <c:y val="-1.1644830825976138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2.1189894050529748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7.3349633251833746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4.5639771801140996E-2"/>
                  <c:y val="-3.8816102753253715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5.5419722901385374E-2"/>
                  <c:y val="-4.269771302857904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4.7269763651181747E-2"/>
                  <c:y val="-1.5526441101301506E-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4.5639771801141114E-2"/>
                  <c:y val="-1.1644830825976102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$'!$H$14:$H$22</c:f>
              <c:strCache>
                <c:ptCount val="9"/>
                <c:pt idx="0">
                  <c:v>SI-PY1</c:v>
                </c:pt>
                <c:pt idx="1">
                  <c:v>SI-PY2</c:v>
                </c:pt>
                <c:pt idx="2">
                  <c:v>SI-PY3</c:v>
                </c:pt>
                <c:pt idx="3">
                  <c:v>SI-PY4</c:v>
                </c:pt>
                <c:pt idx="4">
                  <c:v>SI-PY5</c:v>
                </c:pt>
                <c:pt idx="5">
                  <c:v>SI-PY6</c:v>
                </c:pt>
                <c:pt idx="6">
                  <c:v>SI-PY7</c:v>
                </c:pt>
                <c:pt idx="7">
                  <c:v>SI-PY8</c:v>
                </c:pt>
                <c:pt idx="8">
                  <c:v>SI-PY9</c:v>
                </c:pt>
              </c:strCache>
            </c:strRef>
          </c:cat>
          <c:val>
            <c:numRef>
              <c:f>'Ejecución $'!$O$14:$O$22</c:f>
              <c:numCache>
                <c:formatCode>0.00%</c:formatCode>
                <c:ptCount val="9"/>
                <c:pt idx="0">
                  <c:v>0.70229914482163325</c:v>
                </c:pt>
                <c:pt idx="1">
                  <c:v>0.50374777856956032</c:v>
                </c:pt>
                <c:pt idx="2">
                  <c:v>0.61636821875000003</c:v>
                </c:pt>
                <c:pt idx="3">
                  <c:v>0.38962729130434781</c:v>
                </c:pt>
                <c:pt idx="4">
                  <c:v>0.46520199055935407</c:v>
                </c:pt>
                <c:pt idx="5">
                  <c:v>0.25</c:v>
                </c:pt>
                <c:pt idx="6">
                  <c:v>0</c:v>
                </c:pt>
                <c:pt idx="7">
                  <c:v>0.81733666923076931</c:v>
                </c:pt>
                <c:pt idx="8">
                  <c:v>0.64755316693595133</c:v>
                </c:pt>
              </c:numCache>
            </c:numRef>
          </c:val>
        </c:ser>
        <c:dLbls>
          <c:showLegendKey val="0"/>
          <c:showVal val="0"/>
          <c:showCatName val="0"/>
          <c:showSerName val="0"/>
          <c:showPercent val="0"/>
          <c:showBubbleSize val="0"/>
        </c:dLbls>
        <c:gapWidth val="150"/>
        <c:shape val="box"/>
        <c:axId val="112788608"/>
        <c:axId val="112790144"/>
        <c:axId val="0"/>
      </c:bar3DChart>
      <c:catAx>
        <c:axId val="11278860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12790144"/>
        <c:crosses val="autoZero"/>
        <c:auto val="1"/>
        <c:lblAlgn val="ctr"/>
        <c:lblOffset val="100"/>
        <c:noMultiLvlLbl val="0"/>
      </c:catAx>
      <c:valAx>
        <c:axId val="11279014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127886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CUMPLIMIENTO SUBSISTEMA PROYECCIÓN</a:t>
            </a:r>
            <a:r>
              <a:rPr lang="es-CO" baseline="0">
                <a:solidFill>
                  <a:sysClr val="windowText" lastClr="000000"/>
                </a:solidFill>
              </a:rPr>
              <a:t> SOCIAL</a:t>
            </a:r>
            <a:endParaRPr lang="es-CO">
              <a:solidFill>
                <a:sysClr val="windowText" lastClr="000000"/>
              </a:solidFill>
            </a:endParaRPr>
          </a:p>
        </c:rich>
      </c:tx>
      <c:layout>
        <c:manualLayout>
          <c:xMode val="edge"/>
          <c:yMode val="edge"/>
          <c:x val="0.2929665209941667"/>
          <c:y val="0"/>
        </c:manualLayout>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7146230804279028E-2"/>
          <c:y val="0.22160113061832523"/>
          <c:w val="0.90655385069531347"/>
          <c:h val="0.60732316208809844"/>
        </c:manualLayout>
      </c:layout>
      <c:bar3DChart>
        <c:barDir val="col"/>
        <c:grouping val="clustered"/>
        <c:varyColors val="0"/>
        <c:ser>
          <c:idx val="0"/>
          <c:order val="0"/>
          <c:tx>
            <c:strRef>
              <c:f>'Ejecución $'!$M$26</c:f>
              <c:strCache>
                <c:ptCount val="1"/>
                <c:pt idx="0">
                  <c:v>EFICIENCIA</c:v>
                </c:pt>
              </c:strCache>
            </c:strRef>
          </c:tx>
          <c:spPr>
            <a:solidFill>
              <a:schemeClr val="accent1"/>
            </a:solidFill>
            <a:ln>
              <a:noFill/>
            </a:ln>
            <a:effectLst/>
            <a:sp3d/>
          </c:spPr>
          <c:invertIfNegative val="0"/>
          <c:dLbls>
            <c:dLbl>
              <c:idx val="0"/>
              <c:layout>
                <c:manualLayout>
                  <c:x val="-9.7799511002445143E-3"/>
                  <c:y val="-5.4342543854555184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9.7799511002445282E-3"/>
                  <c:y val="-2.7171271927277574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4669926650366748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7799511002445577E-3"/>
                  <c:y val="-1.9408051376626836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6299918500407497E-3"/>
                  <c:y val="-6.9868984955856611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6299918500407497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4.8899755501221297E-3"/>
                  <c:y val="-2.7171271927277574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2.6079869600652117E-2"/>
                  <c:y val="-5.4342543854555149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$'!$H$27:$H$34</c:f>
              <c:strCache>
                <c:ptCount val="8"/>
                <c:pt idx="0">
                  <c:v>SP-PY1</c:v>
                </c:pt>
                <c:pt idx="1">
                  <c:v>SP-PY2</c:v>
                </c:pt>
                <c:pt idx="2">
                  <c:v>SP-PY3</c:v>
                </c:pt>
                <c:pt idx="3">
                  <c:v>SP-PY4</c:v>
                </c:pt>
                <c:pt idx="4">
                  <c:v>SP-PY5</c:v>
                </c:pt>
                <c:pt idx="5">
                  <c:v>SP-PY6</c:v>
                </c:pt>
                <c:pt idx="6">
                  <c:v>SP-PY7</c:v>
                </c:pt>
                <c:pt idx="7">
                  <c:v>SP-PY8</c:v>
                </c:pt>
              </c:strCache>
            </c:strRef>
          </c:cat>
          <c:val>
            <c:numRef>
              <c:f>'Ejecución $'!$M$27:$M$34</c:f>
              <c:numCache>
                <c:formatCode>0.00%</c:formatCode>
                <c:ptCount val="8"/>
                <c:pt idx="0">
                  <c:v>0.71230061325966854</c:v>
                </c:pt>
                <c:pt idx="1">
                  <c:v>0.43954415714285716</c:v>
                </c:pt>
                <c:pt idx="2">
                  <c:v>0.60776480872057359</c:v>
                </c:pt>
                <c:pt idx="3">
                  <c:v>2.4754333333333333E-2</c:v>
                </c:pt>
                <c:pt idx="4">
                  <c:v>0.54932589988365832</c:v>
                </c:pt>
                <c:pt idx="5">
                  <c:v>0.99965504999999999</c:v>
                </c:pt>
                <c:pt idx="6">
                  <c:v>0.5</c:v>
                </c:pt>
                <c:pt idx="7">
                  <c:v>0.68932476691133227</c:v>
                </c:pt>
              </c:numCache>
            </c:numRef>
          </c:val>
        </c:ser>
        <c:ser>
          <c:idx val="1"/>
          <c:order val="1"/>
          <c:tx>
            <c:strRef>
              <c:f>'Ejecución $'!$N$26</c:f>
              <c:strCache>
                <c:ptCount val="1"/>
                <c:pt idx="0">
                  <c:v>EFICACIA</c:v>
                </c:pt>
              </c:strCache>
            </c:strRef>
          </c:tx>
          <c:spPr>
            <a:solidFill>
              <a:schemeClr val="accent2"/>
            </a:solidFill>
            <a:ln>
              <a:noFill/>
            </a:ln>
            <a:effectLst/>
            <a:sp3d/>
          </c:spPr>
          <c:invertIfNegative val="0"/>
          <c:dLbls>
            <c:dLbl>
              <c:idx val="0"/>
              <c:layout>
                <c:manualLayout>
                  <c:x val="1.9559902200488997E-2"/>
                  <c:y val="-0.1125666979844356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9559902200488997E-2"/>
                  <c:y val="-0.1125666979844357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4669926650366689E-2"/>
                  <c:y val="-7.3750595231181978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4.4009779951100246E-2"/>
                  <c:y val="-5.995834757099832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3039934800325878E-2"/>
                  <c:y val="-7.7632205506507346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1.4669926650366628E-2"/>
                  <c:y val="-9.3158646607808815E-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1.7929910350448247E-2"/>
                  <c:y val="-8.1513815781832713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$'!$H$27:$H$34</c:f>
              <c:strCache>
                <c:ptCount val="8"/>
                <c:pt idx="0">
                  <c:v>SP-PY1</c:v>
                </c:pt>
                <c:pt idx="1">
                  <c:v>SP-PY2</c:v>
                </c:pt>
                <c:pt idx="2">
                  <c:v>SP-PY3</c:v>
                </c:pt>
                <c:pt idx="3">
                  <c:v>SP-PY4</c:v>
                </c:pt>
                <c:pt idx="4">
                  <c:v>SP-PY5</c:v>
                </c:pt>
                <c:pt idx="5">
                  <c:v>SP-PY6</c:v>
                </c:pt>
                <c:pt idx="6">
                  <c:v>SP-PY7</c:v>
                </c:pt>
                <c:pt idx="7">
                  <c:v>SP-PY8</c:v>
                </c:pt>
              </c:strCache>
            </c:strRef>
          </c:cat>
          <c:val>
            <c:numRef>
              <c:f>'Ejecución $'!$N$27:$N$34</c:f>
              <c:numCache>
                <c:formatCode>0.00%</c:formatCode>
                <c:ptCount val="8"/>
                <c:pt idx="0">
                  <c:v>0.5</c:v>
                </c:pt>
                <c:pt idx="1">
                  <c:v>1</c:v>
                </c:pt>
                <c:pt idx="2">
                  <c:v>0.5</c:v>
                </c:pt>
                <c:pt idx="3">
                  <c:v>0.5</c:v>
                </c:pt>
                <c:pt idx="4">
                  <c:v>0.66666666666666674</c:v>
                </c:pt>
                <c:pt idx="5">
                  <c:v>0</c:v>
                </c:pt>
                <c:pt idx="6">
                  <c:v>0.5</c:v>
                </c:pt>
                <c:pt idx="7">
                  <c:v>1</c:v>
                </c:pt>
              </c:numCache>
            </c:numRef>
          </c:val>
        </c:ser>
        <c:ser>
          <c:idx val="2"/>
          <c:order val="2"/>
          <c:tx>
            <c:strRef>
              <c:f>'Ejecución $'!$O$26</c:f>
              <c:strCache>
                <c:ptCount val="1"/>
                <c:pt idx="0">
                  <c:v>EFECTIVIDAD</c:v>
                </c:pt>
              </c:strCache>
            </c:strRef>
          </c:tx>
          <c:spPr>
            <a:solidFill>
              <a:schemeClr val="accent3"/>
            </a:solidFill>
            <a:ln>
              <a:noFill/>
            </a:ln>
            <a:effectLst/>
            <a:sp3d/>
          </c:spPr>
          <c:invertIfNegative val="0"/>
          <c:dLbls>
            <c:dLbl>
              <c:idx val="0"/>
              <c:layout>
                <c:manualLayout>
                  <c:x val="2.4449877750611217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2.4449877750611249E-2"/>
                  <c:y val="-0.1203299185350864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3.9119804400977995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2.1189894050529748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4669926650366748E-2"/>
                  <c:y val="-2.3289661651952204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4.5639771801140996E-2"/>
                  <c:y val="-3.8816102753253715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1.955990220048888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4.7269763651181747E-2"/>
                  <c:y val="-1.5526441101301506E-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4.5639771801141114E-2"/>
                  <c:y val="-1.1644830825976102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$'!$H$27:$H$34</c:f>
              <c:strCache>
                <c:ptCount val="8"/>
                <c:pt idx="0">
                  <c:v>SP-PY1</c:v>
                </c:pt>
                <c:pt idx="1">
                  <c:v>SP-PY2</c:v>
                </c:pt>
                <c:pt idx="2">
                  <c:v>SP-PY3</c:v>
                </c:pt>
                <c:pt idx="3">
                  <c:v>SP-PY4</c:v>
                </c:pt>
                <c:pt idx="4">
                  <c:v>SP-PY5</c:v>
                </c:pt>
                <c:pt idx="5">
                  <c:v>SP-PY6</c:v>
                </c:pt>
                <c:pt idx="6">
                  <c:v>SP-PY7</c:v>
                </c:pt>
                <c:pt idx="7">
                  <c:v>SP-PY8</c:v>
                </c:pt>
              </c:strCache>
            </c:strRef>
          </c:cat>
          <c:val>
            <c:numRef>
              <c:f>'Ejecución $'!$O$27:$O$34</c:f>
              <c:numCache>
                <c:formatCode>0.00%</c:formatCode>
                <c:ptCount val="8"/>
                <c:pt idx="0">
                  <c:v>0.60615030662983427</c:v>
                </c:pt>
                <c:pt idx="1">
                  <c:v>0.71977207857142855</c:v>
                </c:pt>
                <c:pt idx="2">
                  <c:v>0.5538824043602868</c:v>
                </c:pt>
                <c:pt idx="3">
                  <c:v>0.26237716666666666</c:v>
                </c:pt>
                <c:pt idx="4">
                  <c:v>0.60799628327516253</c:v>
                </c:pt>
                <c:pt idx="5">
                  <c:v>0.49982752499999999</c:v>
                </c:pt>
                <c:pt idx="6">
                  <c:v>0.5</c:v>
                </c:pt>
                <c:pt idx="7">
                  <c:v>0.84466238345566613</c:v>
                </c:pt>
              </c:numCache>
            </c:numRef>
          </c:val>
        </c:ser>
        <c:dLbls>
          <c:showLegendKey val="0"/>
          <c:showVal val="0"/>
          <c:showCatName val="0"/>
          <c:showSerName val="0"/>
          <c:showPercent val="0"/>
          <c:showBubbleSize val="0"/>
        </c:dLbls>
        <c:gapWidth val="150"/>
        <c:shape val="box"/>
        <c:axId val="112885760"/>
        <c:axId val="112887296"/>
        <c:axId val="0"/>
      </c:bar3DChart>
      <c:catAx>
        <c:axId val="11288576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12887296"/>
        <c:crosses val="autoZero"/>
        <c:auto val="1"/>
        <c:lblAlgn val="ctr"/>
        <c:lblOffset val="100"/>
        <c:noMultiLvlLbl val="0"/>
      </c:catAx>
      <c:valAx>
        <c:axId val="112887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12885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CUMPLIMIENTO SUBSISTEMA BIENESTAR UNIVERSITARIO</a:t>
            </a:r>
          </a:p>
        </c:rich>
      </c:tx>
      <c:layout>
        <c:manualLayout>
          <c:xMode val="edge"/>
          <c:yMode val="edge"/>
          <c:x val="0.2929665209941667"/>
          <c:y val="0"/>
        </c:manualLayout>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7146230804279028E-2"/>
          <c:y val="0.22160113061832523"/>
          <c:w val="0.90655385069531347"/>
          <c:h val="0.60732316208809844"/>
        </c:manualLayout>
      </c:layout>
      <c:bar3DChart>
        <c:barDir val="col"/>
        <c:grouping val="clustered"/>
        <c:varyColors val="0"/>
        <c:ser>
          <c:idx val="0"/>
          <c:order val="0"/>
          <c:tx>
            <c:strRef>
              <c:f>'Ejecución $'!$M$39</c:f>
              <c:strCache>
                <c:ptCount val="1"/>
                <c:pt idx="0">
                  <c:v>EFICIENCIA</c:v>
                </c:pt>
              </c:strCache>
            </c:strRef>
          </c:tx>
          <c:spPr>
            <a:solidFill>
              <a:schemeClr val="accent1"/>
            </a:solidFill>
            <a:ln>
              <a:noFill/>
            </a:ln>
            <a:effectLst/>
            <a:sp3d/>
          </c:spPr>
          <c:invertIfNegative val="0"/>
          <c:dLbls>
            <c:dLbl>
              <c:idx val="0"/>
              <c:layout>
                <c:manualLayout>
                  <c:x val="-9.7799511002445143E-3"/>
                  <c:y val="-5.4342543854555184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9.7799511002445282E-3"/>
                  <c:y val="-2.7171271927277574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4669926650366748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7799511002445577E-3"/>
                  <c:y val="-1.9408051376626836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6299918500407497E-3"/>
                  <c:y val="-6.9868984955856611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6299918500407497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4.8899755501221297E-3"/>
                  <c:y val="-2.7171271927277574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2.6079869600652117E-2"/>
                  <c:y val="-5.4342543854555149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$'!$H$40:$H$45</c:f>
              <c:strCache>
                <c:ptCount val="6"/>
                <c:pt idx="0">
                  <c:v>SB-PY1</c:v>
                </c:pt>
                <c:pt idx="1">
                  <c:v>SB-PY2</c:v>
                </c:pt>
                <c:pt idx="2">
                  <c:v>SB-PY3</c:v>
                </c:pt>
                <c:pt idx="3">
                  <c:v>SB-PY4</c:v>
                </c:pt>
                <c:pt idx="4">
                  <c:v>SB-PY5</c:v>
                </c:pt>
                <c:pt idx="5">
                  <c:v>SB-PY6</c:v>
                </c:pt>
              </c:strCache>
            </c:strRef>
          </c:cat>
          <c:val>
            <c:numRef>
              <c:f>'Ejecución $'!$M$40:$M$45</c:f>
              <c:numCache>
                <c:formatCode>0.00%</c:formatCode>
                <c:ptCount val="6"/>
                <c:pt idx="0">
                  <c:v>0.6897220092879871</c:v>
                </c:pt>
                <c:pt idx="1">
                  <c:v>0.42220050670770848</c:v>
                </c:pt>
                <c:pt idx="2">
                  <c:v>0.57139351751935952</c:v>
                </c:pt>
                <c:pt idx="3">
                  <c:v>0.66001625451478241</c:v>
                </c:pt>
                <c:pt idx="4">
                  <c:v>0.43824229123610492</c:v>
                </c:pt>
                <c:pt idx="5">
                  <c:v>0.72192047999999998</c:v>
                </c:pt>
              </c:numCache>
            </c:numRef>
          </c:val>
        </c:ser>
        <c:ser>
          <c:idx val="1"/>
          <c:order val="1"/>
          <c:tx>
            <c:strRef>
              <c:f>'Ejecución $'!$N$39</c:f>
              <c:strCache>
                <c:ptCount val="1"/>
                <c:pt idx="0">
                  <c:v>EFICACIA</c:v>
                </c:pt>
              </c:strCache>
            </c:strRef>
          </c:tx>
          <c:spPr>
            <a:solidFill>
              <a:schemeClr val="accent2"/>
            </a:solidFill>
            <a:ln>
              <a:noFill/>
            </a:ln>
            <a:effectLst/>
            <a:sp3d/>
          </c:spPr>
          <c:invertIfNegative val="0"/>
          <c:dLbls>
            <c:dLbl>
              <c:idx val="0"/>
              <c:layout>
                <c:manualLayout>
                  <c:x val="1.9559902200488997E-2"/>
                  <c:y val="-0.1125666979844356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9559902200488997E-2"/>
                  <c:y val="-0.1125666979844357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4669926650366689E-2"/>
                  <c:y val="-7.3750595231181978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4.4009779951100246E-2"/>
                  <c:y val="-5.995834757099832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3039934800325878E-2"/>
                  <c:y val="-7.7632205506507346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1.4669926650366628E-2"/>
                  <c:y val="-9.3158646607808815E-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1.7929910350448247E-2"/>
                  <c:y val="-8.1513815781832713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$'!$H$40:$H$45</c:f>
              <c:strCache>
                <c:ptCount val="6"/>
                <c:pt idx="0">
                  <c:v>SB-PY1</c:v>
                </c:pt>
                <c:pt idx="1">
                  <c:v>SB-PY2</c:v>
                </c:pt>
                <c:pt idx="2">
                  <c:v>SB-PY3</c:v>
                </c:pt>
                <c:pt idx="3">
                  <c:v>SB-PY4</c:v>
                </c:pt>
                <c:pt idx="4">
                  <c:v>SB-PY5</c:v>
                </c:pt>
                <c:pt idx="5">
                  <c:v>SB-PY6</c:v>
                </c:pt>
              </c:strCache>
            </c:strRef>
          </c:cat>
          <c:val>
            <c:numRef>
              <c:f>'Ejecución $'!$N$40:$N$45</c:f>
              <c:numCache>
                <c:formatCode>0.00%</c:formatCode>
                <c:ptCount val="6"/>
                <c:pt idx="0">
                  <c:v>0.7142857142857143</c:v>
                </c:pt>
                <c:pt idx="1">
                  <c:v>1</c:v>
                </c:pt>
                <c:pt idx="2">
                  <c:v>1</c:v>
                </c:pt>
                <c:pt idx="3">
                  <c:v>1</c:v>
                </c:pt>
                <c:pt idx="4">
                  <c:v>0.66666666666666674</c:v>
                </c:pt>
                <c:pt idx="5">
                  <c:v>0.15509999999999999</c:v>
                </c:pt>
              </c:numCache>
            </c:numRef>
          </c:val>
        </c:ser>
        <c:ser>
          <c:idx val="2"/>
          <c:order val="2"/>
          <c:tx>
            <c:strRef>
              <c:f>'Ejecución $'!$O$39</c:f>
              <c:strCache>
                <c:ptCount val="1"/>
                <c:pt idx="0">
                  <c:v>EFECTIVIDAD</c:v>
                </c:pt>
              </c:strCache>
            </c:strRef>
          </c:tx>
          <c:spPr>
            <a:solidFill>
              <a:schemeClr val="accent3"/>
            </a:solidFill>
            <a:ln>
              <a:noFill/>
            </a:ln>
            <a:effectLst/>
            <a:sp3d/>
          </c:spPr>
          <c:invertIfNegative val="0"/>
          <c:dLbls>
            <c:dLbl>
              <c:idx val="0"/>
              <c:layout>
                <c:manualLayout>
                  <c:x val="2.4449877750611217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2.4449877750611249E-2"/>
                  <c:y val="-0.1203299185350864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3.9119804400977995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2.1189894050529748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4669926650366748E-2"/>
                  <c:y val="-2.3289661651952204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4.5639771801140996E-2"/>
                  <c:y val="-3.8816102753253715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1.955990220048888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4.7269763651181747E-2"/>
                  <c:y val="-1.5526441101301506E-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4.5639771801141114E-2"/>
                  <c:y val="-1.1644830825976102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$'!$H$40:$H$45</c:f>
              <c:strCache>
                <c:ptCount val="6"/>
                <c:pt idx="0">
                  <c:v>SB-PY1</c:v>
                </c:pt>
                <c:pt idx="1">
                  <c:v>SB-PY2</c:v>
                </c:pt>
                <c:pt idx="2">
                  <c:v>SB-PY3</c:v>
                </c:pt>
                <c:pt idx="3">
                  <c:v>SB-PY4</c:v>
                </c:pt>
                <c:pt idx="4">
                  <c:v>SB-PY5</c:v>
                </c:pt>
                <c:pt idx="5">
                  <c:v>SB-PY6</c:v>
                </c:pt>
              </c:strCache>
            </c:strRef>
          </c:cat>
          <c:val>
            <c:numRef>
              <c:f>'Ejecución $'!$O$40:$O$45</c:f>
              <c:numCache>
                <c:formatCode>0.00%</c:formatCode>
                <c:ptCount val="6"/>
                <c:pt idx="0">
                  <c:v>0.7020038617868507</c:v>
                </c:pt>
                <c:pt idx="1">
                  <c:v>0.71110025335385418</c:v>
                </c:pt>
                <c:pt idx="2">
                  <c:v>0.7856967587596797</c:v>
                </c:pt>
                <c:pt idx="3">
                  <c:v>0.83000812725739115</c:v>
                </c:pt>
                <c:pt idx="4">
                  <c:v>0.55245447895138589</c:v>
                </c:pt>
                <c:pt idx="5">
                  <c:v>0.43851024</c:v>
                </c:pt>
              </c:numCache>
            </c:numRef>
          </c:val>
        </c:ser>
        <c:dLbls>
          <c:showLegendKey val="0"/>
          <c:showVal val="0"/>
          <c:showCatName val="0"/>
          <c:showSerName val="0"/>
          <c:showPercent val="0"/>
          <c:showBubbleSize val="0"/>
        </c:dLbls>
        <c:gapWidth val="150"/>
        <c:shape val="box"/>
        <c:axId val="113353088"/>
        <c:axId val="113354624"/>
        <c:axId val="0"/>
      </c:bar3DChart>
      <c:catAx>
        <c:axId val="11335308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13354624"/>
        <c:crosses val="autoZero"/>
        <c:auto val="1"/>
        <c:lblAlgn val="ctr"/>
        <c:lblOffset val="100"/>
        <c:noMultiLvlLbl val="0"/>
      </c:catAx>
      <c:valAx>
        <c:axId val="11335462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13353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CUMPLIMIENTO SUBSISTEMA BIENESTAR UNIVERSITARIO</a:t>
            </a:r>
          </a:p>
        </c:rich>
      </c:tx>
      <c:layout>
        <c:manualLayout>
          <c:xMode val="edge"/>
          <c:yMode val="edge"/>
          <c:x val="0.2929665209941667"/>
          <c:y val="0"/>
        </c:manualLayout>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7146230804279028E-2"/>
          <c:y val="0.22160113061832523"/>
          <c:w val="0.90655385069531347"/>
          <c:h val="0.60732316208809844"/>
        </c:manualLayout>
      </c:layout>
      <c:bar3DChart>
        <c:barDir val="col"/>
        <c:grouping val="clustered"/>
        <c:varyColors val="0"/>
        <c:ser>
          <c:idx val="0"/>
          <c:order val="0"/>
          <c:tx>
            <c:strRef>
              <c:f>'Ejecución $'!$M$49</c:f>
              <c:strCache>
                <c:ptCount val="1"/>
                <c:pt idx="0">
                  <c:v>EFICIENCIA</c:v>
                </c:pt>
              </c:strCache>
            </c:strRef>
          </c:tx>
          <c:spPr>
            <a:solidFill>
              <a:schemeClr val="accent1"/>
            </a:solidFill>
            <a:ln>
              <a:noFill/>
            </a:ln>
            <a:effectLst/>
            <a:sp3d/>
          </c:spPr>
          <c:invertIfNegative val="0"/>
          <c:dLbls>
            <c:dLbl>
              <c:idx val="0"/>
              <c:layout>
                <c:manualLayout>
                  <c:x val="-9.7799511002445143E-3"/>
                  <c:y val="-5.4342543854555184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9.7799511002445282E-3"/>
                  <c:y val="-2.7171271927277574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4669926650366748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7799511002445577E-3"/>
                  <c:y val="-1.9408051376626836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6299918500407497E-3"/>
                  <c:y val="-6.9868984955856611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6299918500407497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4.8899755501221297E-3"/>
                  <c:y val="-2.7171271927277574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2.6079869600652117E-2"/>
                  <c:y val="-5.4342543854555149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$'!$H$50:$H$55</c:f>
              <c:strCache>
                <c:ptCount val="6"/>
                <c:pt idx="0">
                  <c:v>SA-PY2a</c:v>
                </c:pt>
                <c:pt idx="1">
                  <c:v>SA-PY2b</c:v>
                </c:pt>
                <c:pt idx="2">
                  <c:v>SA-PY2c</c:v>
                </c:pt>
                <c:pt idx="3">
                  <c:v>SA-PY3</c:v>
                </c:pt>
                <c:pt idx="4">
                  <c:v>SA-PY5</c:v>
                </c:pt>
                <c:pt idx="5">
                  <c:v>SA-PY7</c:v>
                </c:pt>
              </c:strCache>
            </c:strRef>
          </c:cat>
          <c:val>
            <c:numRef>
              <c:f>'Ejecución $'!$M$50:$M$55</c:f>
              <c:numCache>
                <c:formatCode>0.00%</c:formatCode>
                <c:ptCount val="6"/>
                <c:pt idx="0">
                  <c:v>0.26426135343666651</c:v>
                </c:pt>
                <c:pt idx="1">
                  <c:v>0.43567600042038562</c:v>
                </c:pt>
                <c:pt idx="2">
                  <c:v>0.81850094545070162</c:v>
                </c:pt>
                <c:pt idx="3">
                  <c:v>0.88958355654093213</c:v>
                </c:pt>
                <c:pt idx="4">
                  <c:v>0</c:v>
                </c:pt>
                <c:pt idx="5">
                  <c:v>0.50695596287703015</c:v>
                </c:pt>
              </c:numCache>
            </c:numRef>
          </c:val>
        </c:ser>
        <c:ser>
          <c:idx val="1"/>
          <c:order val="1"/>
          <c:tx>
            <c:strRef>
              <c:f>'Ejecución $'!$N$49</c:f>
              <c:strCache>
                <c:ptCount val="1"/>
                <c:pt idx="0">
                  <c:v>EFICACIA</c:v>
                </c:pt>
              </c:strCache>
            </c:strRef>
          </c:tx>
          <c:spPr>
            <a:solidFill>
              <a:schemeClr val="accent2"/>
            </a:solidFill>
            <a:ln>
              <a:noFill/>
            </a:ln>
            <a:effectLst/>
            <a:sp3d/>
          </c:spPr>
          <c:invertIfNegative val="0"/>
          <c:dLbls>
            <c:dLbl>
              <c:idx val="0"/>
              <c:layout>
                <c:manualLayout>
                  <c:x val="9.7799511002444692E-3"/>
                  <c:y val="-9.3158646607808898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3.2599837000814994E-3"/>
                  <c:y val="-3.1052882202602976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9559902200488997E-2"/>
                  <c:y val="-0.1125666979844357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4669926650366689E-2"/>
                  <c:y val="-7.3750595231181978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955990220048888E-2"/>
                  <c:y val="-0.18416987638141011"/>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3039934800325878E-2"/>
                  <c:y val="-7.7632205506507346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1.4669926650366628E-2"/>
                  <c:y val="-9.3158646607808815E-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1.7929910350448247E-2"/>
                  <c:y val="-8.1513815781832713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$'!$H$50:$H$55</c:f>
              <c:strCache>
                <c:ptCount val="6"/>
                <c:pt idx="0">
                  <c:v>SA-PY2a</c:v>
                </c:pt>
                <c:pt idx="1">
                  <c:v>SA-PY2b</c:v>
                </c:pt>
                <c:pt idx="2">
                  <c:v>SA-PY2c</c:v>
                </c:pt>
                <c:pt idx="3">
                  <c:v>SA-PY3</c:v>
                </c:pt>
                <c:pt idx="4">
                  <c:v>SA-PY5</c:v>
                </c:pt>
                <c:pt idx="5">
                  <c:v>SA-PY7</c:v>
                </c:pt>
              </c:strCache>
            </c:strRef>
          </c:cat>
          <c:val>
            <c:numRef>
              <c:f>'Ejecución $'!$N$50:$N$55</c:f>
              <c:numCache>
                <c:formatCode>0.00%</c:formatCode>
                <c:ptCount val="6"/>
                <c:pt idx="0">
                  <c:v>0.20454545454545456</c:v>
                </c:pt>
                <c:pt idx="1">
                  <c:v>1</c:v>
                </c:pt>
                <c:pt idx="2">
                  <c:v>1</c:v>
                </c:pt>
                <c:pt idx="3">
                  <c:v>1</c:v>
                </c:pt>
                <c:pt idx="4">
                  <c:v>0.66666666666666674</c:v>
                </c:pt>
                <c:pt idx="5">
                  <c:v>0</c:v>
                </c:pt>
              </c:numCache>
            </c:numRef>
          </c:val>
        </c:ser>
        <c:ser>
          <c:idx val="2"/>
          <c:order val="2"/>
          <c:tx>
            <c:strRef>
              <c:f>'Ejecución $'!$O$49</c:f>
              <c:strCache>
                <c:ptCount val="1"/>
                <c:pt idx="0">
                  <c:v>EFECTIVIDAD</c:v>
                </c:pt>
              </c:strCache>
            </c:strRef>
          </c:tx>
          <c:spPr>
            <a:solidFill>
              <a:schemeClr val="accent3"/>
            </a:solidFill>
            <a:ln>
              <a:noFill/>
            </a:ln>
            <a:effectLst/>
            <a:sp3d/>
          </c:spPr>
          <c:invertIfNegative val="0"/>
          <c:dLbls>
            <c:dLbl>
              <c:idx val="0"/>
              <c:layout>
                <c:manualLayout>
                  <c:x val="2.4449877750611217E-2"/>
                  <c:y val="-7.7632205506507354E-3"/>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1.9559902200488997E-2"/>
                  <c:y val="-6.9868984955856694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3.9119804400977995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2.1189894050529748E-2"/>
                  <c:y val="-1.1644830825976102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3.4229828850855744E-2"/>
                  <c:y val="-3.4934492477928347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4.5639771801140996E-2"/>
                  <c:y val="-3.8816102753253715E-2"/>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1.955990220048888E-2"/>
                  <c:y val="-3.4934492477928306E-2"/>
                </c:manualLayout>
              </c:layout>
              <c:showLegendKey val="0"/>
              <c:showVal val="1"/>
              <c:showCatName val="0"/>
              <c:showSerName val="0"/>
              <c:showPercent val="0"/>
              <c:showBubbleSize val="0"/>
              <c:extLst>
                <c:ext xmlns:c15="http://schemas.microsoft.com/office/drawing/2012/chart" uri="{CE6537A1-D6FC-4f65-9D91-7224C49458BB}"/>
              </c:extLst>
            </c:dLbl>
            <c:dLbl>
              <c:idx val="7"/>
              <c:layout>
                <c:manualLayout>
                  <c:x val="4.7269763651181747E-2"/>
                  <c:y val="-1.5526441101301506E-2"/>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4.5639771801141114E-2"/>
                  <c:y val="-1.1644830825976102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'Ejecución $'!$H$50:$H$55</c:f>
              <c:strCache>
                <c:ptCount val="6"/>
                <c:pt idx="0">
                  <c:v>SA-PY2a</c:v>
                </c:pt>
                <c:pt idx="1">
                  <c:v>SA-PY2b</c:v>
                </c:pt>
                <c:pt idx="2">
                  <c:v>SA-PY2c</c:v>
                </c:pt>
                <c:pt idx="3">
                  <c:v>SA-PY3</c:v>
                </c:pt>
                <c:pt idx="4">
                  <c:v>SA-PY5</c:v>
                </c:pt>
                <c:pt idx="5">
                  <c:v>SA-PY7</c:v>
                </c:pt>
              </c:strCache>
            </c:strRef>
          </c:cat>
          <c:val>
            <c:numRef>
              <c:f>'Ejecución $'!$O$50:$O$55</c:f>
              <c:numCache>
                <c:formatCode>0.00%</c:formatCode>
                <c:ptCount val="6"/>
                <c:pt idx="0">
                  <c:v>0.23440340399106052</c:v>
                </c:pt>
                <c:pt idx="1">
                  <c:v>0.71783800021019284</c:v>
                </c:pt>
                <c:pt idx="2">
                  <c:v>0.90925047272535076</c:v>
                </c:pt>
                <c:pt idx="3">
                  <c:v>0.94479177827046601</c:v>
                </c:pt>
                <c:pt idx="4">
                  <c:v>0</c:v>
                </c:pt>
                <c:pt idx="5">
                  <c:v>0.25347798143851508</c:v>
                </c:pt>
              </c:numCache>
            </c:numRef>
          </c:val>
        </c:ser>
        <c:dLbls>
          <c:showLegendKey val="0"/>
          <c:showVal val="0"/>
          <c:showCatName val="0"/>
          <c:showSerName val="0"/>
          <c:showPercent val="0"/>
          <c:showBubbleSize val="0"/>
        </c:dLbls>
        <c:gapWidth val="150"/>
        <c:shape val="box"/>
        <c:axId val="113099904"/>
        <c:axId val="113101440"/>
        <c:axId val="0"/>
      </c:bar3DChart>
      <c:catAx>
        <c:axId val="11309990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13101440"/>
        <c:crosses val="autoZero"/>
        <c:auto val="1"/>
        <c:lblAlgn val="ctr"/>
        <c:lblOffset val="100"/>
        <c:noMultiLvlLbl val="0"/>
      </c:catAx>
      <c:valAx>
        <c:axId val="1131014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1309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100"/>
              <a:t>COMPARATIVO</a:t>
            </a:r>
            <a:r>
              <a:rPr lang="en-US" sz="1100" baseline="0"/>
              <a:t> ENTRE EFICACIA Y EFICIENCIA DE LOS PROYECTOS   S.FORMACIÓN</a:t>
            </a:r>
          </a:p>
          <a:p>
            <a:pPr>
              <a:defRPr/>
            </a:pPr>
            <a:endParaRPr lang="en-US"/>
          </a:p>
        </c:rich>
      </c:tx>
      <c:overlay val="0"/>
    </c:title>
    <c:autoTitleDeleted val="0"/>
    <c:plotArea>
      <c:layout/>
      <c:barChart>
        <c:barDir val="col"/>
        <c:grouping val="clustered"/>
        <c:varyColors val="0"/>
        <c:ser>
          <c:idx val="0"/>
          <c:order val="0"/>
          <c:tx>
            <c:v>EFICACIA </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FORMACIÓN!#REF!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FORMACIÓN!#REF!</c15:sqref>
                        </c15:formulaRef>
                      </c:ext>
                    </c:extLst>
                  </c:multiLvlStrRef>
                </c15:cat>
              </c15:filteredCategoryTitle>
            </c:ext>
          </c:extLst>
        </c:ser>
        <c:ser>
          <c:idx val="1"/>
          <c:order val="1"/>
          <c:tx>
            <c:v>EFICIENCIA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FORMACIÓN!#REF!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FORMACIÓN!#REF!</c15:sqref>
                        </c15:formulaRef>
                      </c:ext>
                    </c:extLst>
                  </c:multiLvlStrRef>
                </c15:cat>
              </c15:filteredCategoryTitle>
            </c:ext>
          </c:extLst>
        </c:ser>
        <c:dLbls>
          <c:showLegendKey val="0"/>
          <c:showVal val="1"/>
          <c:showCatName val="0"/>
          <c:showSerName val="0"/>
          <c:showPercent val="0"/>
          <c:showBubbleSize val="0"/>
        </c:dLbls>
        <c:gapWidth val="150"/>
        <c:overlap val="-25"/>
        <c:axId val="113832704"/>
        <c:axId val="113834240"/>
      </c:barChart>
      <c:catAx>
        <c:axId val="113832704"/>
        <c:scaling>
          <c:orientation val="minMax"/>
        </c:scaling>
        <c:delete val="0"/>
        <c:axPos val="b"/>
        <c:numFmt formatCode="General" sourceLinked="0"/>
        <c:majorTickMark val="none"/>
        <c:minorTickMark val="none"/>
        <c:tickLblPos val="nextTo"/>
        <c:crossAx val="113834240"/>
        <c:crosses val="autoZero"/>
        <c:auto val="1"/>
        <c:lblAlgn val="ctr"/>
        <c:lblOffset val="100"/>
        <c:noMultiLvlLbl val="0"/>
      </c:catAx>
      <c:valAx>
        <c:axId val="113834240"/>
        <c:scaling>
          <c:orientation val="minMax"/>
        </c:scaling>
        <c:delete val="1"/>
        <c:axPos val="l"/>
        <c:numFmt formatCode="General" sourceLinked="1"/>
        <c:majorTickMark val="out"/>
        <c:minorTickMark val="none"/>
        <c:tickLblPos val="nextTo"/>
        <c:crossAx val="113832704"/>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4943181190710213E-2"/>
          <c:y val="5.1400554097404488E-2"/>
          <c:w val="0.88569314529933407"/>
          <c:h val="0.49359069699620883"/>
        </c:manualLayout>
      </c:layout>
      <c:barChart>
        <c:barDir val="col"/>
        <c:grouping val="clustered"/>
        <c:varyColors val="0"/>
        <c:ser>
          <c:idx val="0"/>
          <c:order val="0"/>
          <c:tx>
            <c:strRef>
              <c:f>FORMACIÓN!$B$31</c:f>
              <c:strCache>
                <c:ptCount val="1"/>
                <c:pt idx="0">
                  <c:v>EFICACIA  </c:v>
                </c:pt>
              </c:strCache>
            </c:strRef>
          </c:tx>
          <c:invertIfNegative val="0"/>
          <c:dLbls>
            <c:dLbl>
              <c:idx val="0"/>
              <c:layout>
                <c:manualLayout>
                  <c:x val="-1.1095700416088766E-2"/>
                  <c:y val="0"/>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9.2464170134073046E-3"/>
                  <c:y val="0"/>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1095700416088766E-2"/>
                  <c:y val="4.2437781360066642E-17"/>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7.3971336107258433E-3"/>
                  <c:y val="9.2592592592592587E-3"/>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9.2464170134073046E-3"/>
                  <c:y val="4.2437781360066642E-17"/>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1095700416088766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FORMACIÓN!$A$32:$A$38</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FORMACIÓN!$B$32:$B$38</c:f>
              <c:numCache>
                <c:formatCode>0.00%</c:formatCode>
                <c:ptCount val="7"/>
                <c:pt idx="0">
                  <c:v>0</c:v>
                </c:pt>
                <c:pt idx="1">
                  <c:v>0</c:v>
                </c:pt>
                <c:pt idx="2">
                  <c:v>0</c:v>
                </c:pt>
                <c:pt idx="3">
                  <c:v>0</c:v>
                </c:pt>
                <c:pt idx="4">
                  <c:v>0</c:v>
                </c:pt>
                <c:pt idx="5">
                  <c:v>0</c:v>
                </c:pt>
                <c:pt idx="6">
                  <c:v>0</c:v>
                </c:pt>
              </c:numCache>
            </c:numRef>
          </c:val>
        </c:ser>
        <c:ser>
          <c:idx val="1"/>
          <c:order val="1"/>
          <c:tx>
            <c:strRef>
              <c:f>FORMACIÓN!$C$31</c:f>
              <c:strCache>
                <c:ptCount val="1"/>
                <c:pt idx="0">
                  <c:v>EFICIENCIA $ </c:v>
                </c:pt>
              </c:strCache>
            </c:strRef>
          </c:tx>
          <c:invertIfNegative val="0"/>
          <c:dLbls>
            <c:dLbl>
              <c:idx val="2"/>
              <c:layout>
                <c:manualLayout>
                  <c:x val="0"/>
                  <c:y val="1.3888888888888888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6.7806274794447677E-17"/>
                  <c:y val="9.2592592592592587E-3"/>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7.3971336107258433E-3"/>
                  <c:y val="1.3888888888888888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0"/>
                  <c:y val="1.38888888888889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FORMACIÓN!$A$32:$A$38</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FORMACIÓN!$C$32:$C$38</c:f>
              <c:numCache>
                <c:formatCode>0.00%</c:formatCode>
                <c:ptCount val="7"/>
                <c:pt idx="0">
                  <c:v>0</c:v>
                </c:pt>
                <c:pt idx="1">
                  <c:v>0</c:v>
                </c:pt>
                <c:pt idx="2">
                  <c:v>0</c:v>
                </c:pt>
                <c:pt idx="3">
                  <c:v>0</c:v>
                </c:pt>
                <c:pt idx="4">
                  <c:v>0</c:v>
                </c:pt>
                <c:pt idx="5">
                  <c:v>0</c:v>
                </c:pt>
                <c:pt idx="6">
                  <c:v>0</c:v>
                </c:pt>
              </c:numCache>
            </c:numRef>
          </c:val>
        </c:ser>
        <c:ser>
          <c:idx val="2"/>
          <c:order val="2"/>
          <c:tx>
            <c:strRef>
              <c:f>FORMACIÓN!$D$31</c:f>
              <c:strCache>
                <c:ptCount val="1"/>
                <c:pt idx="0">
                  <c:v>EFECTIVIDAD</c:v>
                </c:pt>
              </c:strCache>
            </c:strRef>
          </c:tx>
          <c:invertIfNegative val="0"/>
          <c:dLbls>
            <c:dLbl>
              <c:idx val="0"/>
              <c:layout>
                <c:manualLayout>
                  <c:x val="1.6643550624133148E-2"/>
                  <c:y val="0"/>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1.2944983818770227E-2"/>
                  <c:y val="1.8518518518518517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6643550624133217E-2"/>
                  <c:y val="1.8518518518518517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2464170134073046E-3"/>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6643550624133148E-2"/>
                  <c:y val="1.3888524351122776E-2"/>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4794267221451687E-2"/>
                  <c:y val="-2.3148148148148147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FORMACIÓN!$A$32:$A$38</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FORMACIÓN!$D$32:$D$38</c:f>
              <c:numCache>
                <c:formatCode>0.00%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50"/>
        <c:axId val="113443968"/>
        <c:axId val="113445504"/>
      </c:barChart>
      <c:catAx>
        <c:axId val="113443968"/>
        <c:scaling>
          <c:orientation val="minMax"/>
        </c:scaling>
        <c:delete val="0"/>
        <c:axPos val="b"/>
        <c:numFmt formatCode="General" sourceLinked="0"/>
        <c:majorTickMark val="out"/>
        <c:minorTickMark val="none"/>
        <c:tickLblPos val="nextTo"/>
        <c:crossAx val="113445504"/>
        <c:crosses val="autoZero"/>
        <c:auto val="1"/>
        <c:lblAlgn val="ctr"/>
        <c:lblOffset val="100"/>
        <c:noMultiLvlLbl val="0"/>
      </c:catAx>
      <c:valAx>
        <c:axId val="113445504"/>
        <c:scaling>
          <c:orientation val="minMax"/>
        </c:scaling>
        <c:delete val="0"/>
        <c:axPos val="l"/>
        <c:majorGridlines/>
        <c:numFmt formatCode="0.00%" sourceLinked="1"/>
        <c:majorTickMark val="out"/>
        <c:minorTickMark val="none"/>
        <c:tickLblPos val="nextTo"/>
        <c:crossAx val="113443968"/>
        <c:crosses val="autoZero"/>
        <c:crossBetween val="between"/>
      </c:valAx>
    </c:plotArea>
    <c:legend>
      <c:legendPos val="r"/>
      <c:layout>
        <c:manualLayout>
          <c:xMode val="edge"/>
          <c:yMode val="edge"/>
          <c:x val="0.20270271265180215"/>
          <c:y val="0.81886847477398661"/>
          <c:w val="0.54484286939588367"/>
          <c:h val="9.8373797025371829E-2"/>
        </c:manualLayout>
      </c:layout>
      <c:overlay val="0"/>
    </c:legend>
    <c:plotVisOnly val="1"/>
    <c:dispBlanksAs val="gap"/>
    <c:showDLblsOverMax val="0"/>
  </c:chart>
  <c:txPr>
    <a:bodyPr/>
    <a:lstStyle/>
    <a:p>
      <a:pPr>
        <a:defRPr sz="800"/>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142875</xdr:colOff>
      <xdr:row>4</xdr:row>
      <xdr:rowOff>57151</xdr:rowOff>
    </xdr:from>
    <xdr:to>
      <xdr:col>1</xdr:col>
      <xdr:colOff>657225</xdr:colOff>
      <xdr:row>6</xdr:row>
      <xdr:rowOff>123825</xdr:rowOff>
    </xdr:to>
    <xdr:sp macro="" textlink="">
      <xdr:nvSpPr>
        <xdr:cNvPr id="2" name="1 Elipse"/>
        <xdr:cNvSpPr/>
      </xdr:nvSpPr>
      <xdr:spPr>
        <a:xfrm>
          <a:off x="904875" y="828676"/>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7</xdr:row>
      <xdr:rowOff>38100</xdr:rowOff>
    </xdr:from>
    <xdr:to>
      <xdr:col>1</xdr:col>
      <xdr:colOff>657225</xdr:colOff>
      <xdr:row>9</xdr:row>
      <xdr:rowOff>133350</xdr:rowOff>
    </xdr:to>
    <xdr:sp macro="" textlink="">
      <xdr:nvSpPr>
        <xdr:cNvPr id="3" name="2 Elipse"/>
        <xdr:cNvSpPr/>
      </xdr:nvSpPr>
      <xdr:spPr>
        <a:xfrm>
          <a:off x="904875" y="1381125"/>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10</xdr:row>
      <xdr:rowOff>66675</xdr:rowOff>
    </xdr:from>
    <xdr:to>
      <xdr:col>1</xdr:col>
      <xdr:colOff>666750</xdr:colOff>
      <xdr:row>12</xdr:row>
      <xdr:rowOff>161925</xdr:rowOff>
    </xdr:to>
    <xdr:sp macro="" textlink="">
      <xdr:nvSpPr>
        <xdr:cNvPr id="4" name="3 Elipse"/>
        <xdr:cNvSpPr/>
      </xdr:nvSpPr>
      <xdr:spPr>
        <a:xfrm>
          <a:off x="914400" y="1981200"/>
          <a:ext cx="514350" cy="542925"/>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13</xdr:row>
      <xdr:rowOff>142874</xdr:rowOff>
    </xdr:from>
    <xdr:to>
      <xdr:col>1</xdr:col>
      <xdr:colOff>666750</xdr:colOff>
      <xdr:row>15</xdr:row>
      <xdr:rowOff>152399</xdr:rowOff>
    </xdr:to>
    <xdr:sp macro="" textlink="">
      <xdr:nvSpPr>
        <xdr:cNvPr id="5" name="4 Elipse"/>
        <xdr:cNvSpPr/>
      </xdr:nvSpPr>
      <xdr:spPr>
        <a:xfrm>
          <a:off x="914400" y="2762249"/>
          <a:ext cx="514350" cy="54292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18</xdr:row>
      <xdr:rowOff>57151</xdr:rowOff>
    </xdr:from>
    <xdr:to>
      <xdr:col>1</xdr:col>
      <xdr:colOff>657225</xdr:colOff>
      <xdr:row>20</xdr:row>
      <xdr:rowOff>123825</xdr:rowOff>
    </xdr:to>
    <xdr:sp macro="" textlink="">
      <xdr:nvSpPr>
        <xdr:cNvPr id="6" name="1 Elipse"/>
        <xdr:cNvSpPr/>
      </xdr:nvSpPr>
      <xdr:spPr>
        <a:xfrm>
          <a:off x="904875" y="676276"/>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21</xdr:row>
      <xdr:rowOff>38100</xdr:rowOff>
    </xdr:from>
    <xdr:to>
      <xdr:col>1</xdr:col>
      <xdr:colOff>657225</xdr:colOff>
      <xdr:row>23</xdr:row>
      <xdr:rowOff>133350</xdr:rowOff>
    </xdr:to>
    <xdr:sp macro="" textlink="">
      <xdr:nvSpPr>
        <xdr:cNvPr id="7" name="2 Elipse"/>
        <xdr:cNvSpPr/>
      </xdr:nvSpPr>
      <xdr:spPr>
        <a:xfrm>
          <a:off x="904875" y="1304925"/>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24</xdr:row>
      <xdr:rowOff>66675</xdr:rowOff>
    </xdr:from>
    <xdr:to>
      <xdr:col>1</xdr:col>
      <xdr:colOff>666750</xdr:colOff>
      <xdr:row>26</xdr:row>
      <xdr:rowOff>161925</xdr:rowOff>
    </xdr:to>
    <xdr:sp macro="" textlink="">
      <xdr:nvSpPr>
        <xdr:cNvPr id="8" name="3 Elipse"/>
        <xdr:cNvSpPr/>
      </xdr:nvSpPr>
      <xdr:spPr>
        <a:xfrm>
          <a:off x="914400" y="1905000"/>
          <a:ext cx="514350" cy="47625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27</xdr:row>
      <xdr:rowOff>142874</xdr:rowOff>
    </xdr:from>
    <xdr:to>
      <xdr:col>1</xdr:col>
      <xdr:colOff>666750</xdr:colOff>
      <xdr:row>29</xdr:row>
      <xdr:rowOff>152399</xdr:rowOff>
    </xdr:to>
    <xdr:sp macro="" textlink="">
      <xdr:nvSpPr>
        <xdr:cNvPr id="9" name="4 Elipse"/>
        <xdr:cNvSpPr/>
      </xdr:nvSpPr>
      <xdr:spPr>
        <a:xfrm>
          <a:off x="914400" y="2609849"/>
          <a:ext cx="514350" cy="52387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33</xdr:row>
      <xdr:rowOff>57151</xdr:rowOff>
    </xdr:from>
    <xdr:to>
      <xdr:col>1</xdr:col>
      <xdr:colOff>657225</xdr:colOff>
      <xdr:row>35</xdr:row>
      <xdr:rowOff>123825</xdr:rowOff>
    </xdr:to>
    <xdr:sp macro="" textlink="">
      <xdr:nvSpPr>
        <xdr:cNvPr id="10" name="1 Elipse"/>
        <xdr:cNvSpPr/>
      </xdr:nvSpPr>
      <xdr:spPr>
        <a:xfrm>
          <a:off x="904875" y="676276"/>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36</xdr:row>
      <xdr:rowOff>38100</xdr:rowOff>
    </xdr:from>
    <xdr:to>
      <xdr:col>1</xdr:col>
      <xdr:colOff>657225</xdr:colOff>
      <xdr:row>38</xdr:row>
      <xdr:rowOff>133350</xdr:rowOff>
    </xdr:to>
    <xdr:sp macro="" textlink="">
      <xdr:nvSpPr>
        <xdr:cNvPr id="11" name="2 Elipse"/>
        <xdr:cNvSpPr/>
      </xdr:nvSpPr>
      <xdr:spPr>
        <a:xfrm>
          <a:off x="904875" y="1304925"/>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39</xdr:row>
      <xdr:rowOff>66675</xdr:rowOff>
    </xdr:from>
    <xdr:to>
      <xdr:col>1</xdr:col>
      <xdr:colOff>666750</xdr:colOff>
      <xdr:row>41</xdr:row>
      <xdr:rowOff>161925</xdr:rowOff>
    </xdr:to>
    <xdr:sp macro="" textlink="">
      <xdr:nvSpPr>
        <xdr:cNvPr id="12" name="3 Elipse"/>
        <xdr:cNvSpPr/>
      </xdr:nvSpPr>
      <xdr:spPr>
        <a:xfrm>
          <a:off x="914400" y="1905000"/>
          <a:ext cx="514350" cy="47625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42</xdr:row>
      <xdr:rowOff>142874</xdr:rowOff>
    </xdr:from>
    <xdr:to>
      <xdr:col>1</xdr:col>
      <xdr:colOff>666750</xdr:colOff>
      <xdr:row>44</xdr:row>
      <xdr:rowOff>152399</xdr:rowOff>
    </xdr:to>
    <xdr:sp macro="" textlink="">
      <xdr:nvSpPr>
        <xdr:cNvPr id="13" name="4 Elipse"/>
        <xdr:cNvSpPr/>
      </xdr:nvSpPr>
      <xdr:spPr>
        <a:xfrm>
          <a:off x="914400" y="2609849"/>
          <a:ext cx="514350" cy="52387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absolute">
    <xdr:from>
      <xdr:col>1</xdr:col>
      <xdr:colOff>171450</xdr:colOff>
      <xdr:row>48</xdr:row>
      <xdr:rowOff>0</xdr:rowOff>
    </xdr:from>
    <xdr:to>
      <xdr:col>1</xdr:col>
      <xdr:colOff>685170</xdr:colOff>
      <xdr:row>50</xdr:row>
      <xdr:rowOff>132660</xdr:rowOff>
    </xdr:to>
    <xdr:sp macro="" textlink="">
      <xdr:nvSpPr>
        <xdr:cNvPr id="14" name="CustomShape 1"/>
        <xdr:cNvSpPr/>
      </xdr:nvSpPr>
      <xdr:spPr>
        <a:xfrm>
          <a:off x="933450" y="9658350"/>
          <a:ext cx="513720" cy="513660"/>
        </a:xfrm>
        <a:prstGeom prst="ellipse">
          <a:avLst/>
        </a:prstGeom>
        <a:solidFill>
          <a:srgbClr val="FF0000"/>
        </a:solidFill>
        <a:ln w="25560">
          <a:solidFill>
            <a:srgbClr val="3A5F8B"/>
          </a:solidFill>
          <a:round/>
        </a:ln>
      </xdr:spPr>
    </xdr:sp>
    <xdr:clientData/>
  </xdr:twoCellAnchor>
  <xdr:twoCellAnchor editAs="absolute">
    <xdr:from>
      <xdr:col>1</xdr:col>
      <xdr:colOff>161925</xdr:colOff>
      <xdr:row>51</xdr:row>
      <xdr:rowOff>76200</xdr:rowOff>
    </xdr:from>
    <xdr:to>
      <xdr:col>1</xdr:col>
      <xdr:colOff>675645</xdr:colOff>
      <xdr:row>53</xdr:row>
      <xdr:rowOff>132690</xdr:rowOff>
    </xdr:to>
    <xdr:sp macro="" textlink="">
      <xdr:nvSpPr>
        <xdr:cNvPr id="15" name="CustomShape 1"/>
        <xdr:cNvSpPr/>
      </xdr:nvSpPr>
      <xdr:spPr>
        <a:xfrm>
          <a:off x="923925" y="10306050"/>
          <a:ext cx="513720" cy="532740"/>
        </a:xfrm>
        <a:prstGeom prst="ellipse">
          <a:avLst/>
        </a:prstGeom>
        <a:solidFill>
          <a:srgbClr val="FFFF00"/>
        </a:solidFill>
        <a:ln w="25560">
          <a:solidFill>
            <a:srgbClr val="3A5F8B"/>
          </a:solidFill>
          <a:round/>
        </a:ln>
      </xdr:spPr>
    </xdr:sp>
    <xdr:clientData/>
  </xdr:twoCellAnchor>
  <xdr:twoCellAnchor editAs="absolute">
    <xdr:from>
      <xdr:col>1</xdr:col>
      <xdr:colOff>218910</xdr:colOff>
      <xdr:row>60</xdr:row>
      <xdr:rowOff>85395</xdr:rowOff>
    </xdr:from>
    <xdr:to>
      <xdr:col>1</xdr:col>
      <xdr:colOff>732630</xdr:colOff>
      <xdr:row>62</xdr:row>
      <xdr:rowOff>132165</xdr:rowOff>
    </xdr:to>
    <xdr:sp macro="" textlink="">
      <xdr:nvSpPr>
        <xdr:cNvPr id="16" name="CustomShape 1"/>
        <xdr:cNvSpPr/>
      </xdr:nvSpPr>
      <xdr:spPr>
        <a:xfrm>
          <a:off x="980910" y="12344070"/>
          <a:ext cx="513720" cy="523020"/>
        </a:xfrm>
        <a:prstGeom prst="ellipse">
          <a:avLst/>
        </a:prstGeom>
        <a:solidFill>
          <a:srgbClr val="FF33CC"/>
        </a:solidFill>
        <a:ln w="25560">
          <a:solidFill>
            <a:srgbClr val="3A5F8B"/>
          </a:solidFill>
          <a:round/>
        </a:ln>
      </xdr:spPr>
    </xdr:sp>
    <xdr:clientData/>
  </xdr:twoCellAnchor>
  <xdr:twoCellAnchor editAs="absolute">
    <xdr:from>
      <xdr:col>1</xdr:col>
      <xdr:colOff>171285</xdr:colOff>
      <xdr:row>54</xdr:row>
      <xdr:rowOff>66540</xdr:rowOff>
    </xdr:from>
    <xdr:to>
      <xdr:col>1</xdr:col>
      <xdr:colOff>685005</xdr:colOff>
      <xdr:row>56</xdr:row>
      <xdr:rowOff>161130</xdr:rowOff>
    </xdr:to>
    <xdr:sp macro="" textlink="">
      <xdr:nvSpPr>
        <xdr:cNvPr id="17" name="CustomShape 1"/>
        <xdr:cNvSpPr/>
      </xdr:nvSpPr>
      <xdr:spPr>
        <a:xfrm>
          <a:off x="933285" y="11010765"/>
          <a:ext cx="513720" cy="532740"/>
        </a:xfrm>
        <a:prstGeom prst="ellipse">
          <a:avLst/>
        </a:prstGeom>
        <a:solidFill>
          <a:srgbClr val="92D050"/>
        </a:solidFill>
        <a:ln w="25560">
          <a:solidFill>
            <a:srgbClr val="3A5F8B"/>
          </a:solidFill>
          <a:round/>
        </a:ln>
      </xdr:spPr>
    </xdr:sp>
    <xdr:clientData/>
  </xdr:twoCellAnchor>
  <xdr:twoCellAnchor editAs="absolute">
    <xdr:from>
      <xdr:col>1</xdr:col>
      <xdr:colOff>199860</xdr:colOff>
      <xdr:row>57</xdr:row>
      <xdr:rowOff>47430</xdr:rowOff>
    </xdr:from>
    <xdr:to>
      <xdr:col>1</xdr:col>
      <xdr:colOff>713580</xdr:colOff>
      <xdr:row>59</xdr:row>
      <xdr:rowOff>170460</xdr:rowOff>
    </xdr:to>
    <xdr:sp macro="" textlink="">
      <xdr:nvSpPr>
        <xdr:cNvPr id="18" name="CustomShape 1"/>
        <xdr:cNvSpPr/>
      </xdr:nvSpPr>
      <xdr:spPr>
        <a:xfrm>
          <a:off x="961860" y="11648880"/>
          <a:ext cx="513720" cy="561180"/>
        </a:xfrm>
        <a:prstGeom prst="ellipse">
          <a:avLst/>
        </a:prstGeom>
        <a:solidFill>
          <a:srgbClr val="00B0F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104775</xdr:colOff>
      <xdr:row>0</xdr:row>
      <xdr:rowOff>0</xdr:rowOff>
    </xdr:from>
    <xdr:to>
      <xdr:col>37</xdr:col>
      <xdr:colOff>929760</xdr:colOff>
      <xdr:row>2</xdr:row>
      <xdr:rowOff>165100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20400" y="0"/>
          <a:ext cx="1863210" cy="546100"/>
        </a:xfrm>
        <a:prstGeom prst="rect">
          <a:avLst/>
        </a:prstGeom>
      </xdr:spPr>
    </xdr:pic>
    <xdr:clientData/>
  </xdr:twoCellAnchor>
  <xdr:twoCellAnchor editAs="oneCell">
    <xdr:from>
      <xdr:col>0</xdr:col>
      <xdr:colOff>15875</xdr:colOff>
      <xdr:row>0</xdr:row>
      <xdr:rowOff>0</xdr:rowOff>
    </xdr:from>
    <xdr:to>
      <xdr:col>0</xdr:col>
      <xdr:colOff>596900</xdr:colOff>
      <xdr:row>3</xdr:row>
      <xdr:rowOff>76888</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75" y="0"/>
          <a:ext cx="581025" cy="648388"/>
        </a:xfrm>
        <a:prstGeom prst="rect">
          <a:avLst/>
        </a:prstGeom>
      </xdr:spPr>
    </xdr:pic>
    <xdr:clientData/>
  </xdr:twoCellAnchor>
  <xdr:twoCellAnchor editAs="oneCell">
    <xdr:from>
      <xdr:col>35</xdr:col>
      <xdr:colOff>1756833</xdr:colOff>
      <xdr:row>0</xdr:row>
      <xdr:rowOff>31750</xdr:rowOff>
    </xdr:from>
    <xdr:to>
      <xdr:col>37</xdr:col>
      <xdr:colOff>645584</xdr:colOff>
      <xdr:row>2</xdr:row>
      <xdr:rowOff>175683</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45108" y="31750"/>
          <a:ext cx="1598084" cy="524933"/>
        </a:xfrm>
        <a:prstGeom prst="rect">
          <a:avLst/>
        </a:prstGeom>
      </xdr:spPr>
    </xdr:pic>
    <xdr:clientData/>
  </xdr:twoCellAnchor>
  <xdr:twoCellAnchor editAs="oneCell">
    <xdr:from>
      <xdr:col>25</xdr:col>
      <xdr:colOff>85725</xdr:colOff>
      <xdr:row>0</xdr:row>
      <xdr:rowOff>28575</xdr:rowOff>
    </xdr:from>
    <xdr:to>
      <xdr:col>36</xdr:col>
      <xdr:colOff>581025</xdr:colOff>
      <xdr:row>3</xdr:row>
      <xdr:rowOff>105463</xdr:rowOff>
    </xdr:to>
    <xdr:pic>
      <xdr:nvPicPr>
        <xdr:cNvPr id="5"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39700" y="28575"/>
          <a:ext cx="581025" cy="648388"/>
        </a:xfrm>
        <a:prstGeom prst="rect">
          <a:avLst/>
        </a:prstGeom>
      </xdr:spPr>
    </xdr:pic>
    <xdr:clientData/>
  </xdr:twoCellAnchor>
  <xdr:oneCellAnchor>
    <xdr:from>
      <xdr:col>21</xdr:col>
      <xdr:colOff>1756833</xdr:colOff>
      <xdr:row>0</xdr:row>
      <xdr:rowOff>31750</xdr:rowOff>
    </xdr:from>
    <xdr:ext cx="1598084" cy="546100"/>
    <xdr:pic>
      <xdr:nvPicPr>
        <xdr:cNvPr id="6" name="Imagen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449250" y="31750"/>
          <a:ext cx="1598084" cy="546100"/>
        </a:xfrm>
        <a:prstGeom prst="rect">
          <a:avLst/>
        </a:prstGeom>
      </xdr:spPr>
    </xdr:pic>
    <xdr:clientData/>
  </xdr:oneCellAnchor>
  <xdr:oneCellAnchor>
    <xdr:from>
      <xdr:col>49</xdr:col>
      <xdr:colOff>1756833</xdr:colOff>
      <xdr:row>0</xdr:row>
      <xdr:rowOff>31750</xdr:rowOff>
    </xdr:from>
    <xdr:ext cx="1598084" cy="552147"/>
    <xdr:pic>
      <xdr:nvPicPr>
        <xdr:cNvPr id="7" name="Imagen 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401119" y="31750"/>
          <a:ext cx="1598084" cy="552147"/>
        </a:xfrm>
        <a:prstGeom prst="rect">
          <a:avLst/>
        </a:prstGeom>
      </xdr:spPr>
    </xdr:pic>
    <xdr:clientData/>
  </xdr:oneCellAnchor>
  <xdr:oneCellAnchor>
    <xdr:from>
      <xdr:col>39</xdr:col>
      <xdr:colOff>85725</xdr:colOff>
      <xdr:row>0</xdr:row>
      <xdr:rowOff>28575</xdr:rowOff>
    </xdr:from>
    <xdr:ext cx="581025" cy="689209"/>
    <xdr:pic>
      <xdr:nvPicPr>
        <xdr:cNvPr id="8" name="Imagen 7"/>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0915623" y="28575"/>
          <a:ext cx="581025" cy="689209"/>
        </a:xfrm>
        <a:prstGeom prst="rect">
          <a:avLst/>
        </a:prstGeom>
      </xdr:spPr>
    </xdr:pic>
    <xdr:clientData/>
  </xdr:oneCellAnchor>
  <xdr:twoCellAnchor editAs="oneCell">
    <xdr:from>
      <xdr:col>9</xdr:col>
      <xdr:colOff>104775</xdr:colOff>
      <xdr:row>0</xdr:row>
      <xdr:rowOff>0</xdr:rowOff>
    </xdr:from>
    <xdr:to>
      <xdr:col>37</xdr:col>
      <xdr:colOff>929760</xdr:colOff>
      <xdr:row>2</xdr:row>
      <xdr:rowOff>165100</xdr:rowOff>
    </xdr:to>
    <xdr:pic>
      <xdr:nvPicPr>
        <xdr:cNvPr id="9"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20400" y="0"/>
          <a:ext cx="1863210" cy="565150"/>
        </a:xfrm>
        <a:prstGeom prst="rect">
          <a:avLst/>
        </a:prstGeom>
      </xdr:spPr>
    </xdr:pic>
    <xdr:clientData/>
  </xdr:twoCellAnchor>
  <xdr:twoCellAnchor editAs="oneCell">
    <xdr:from>
      <xdr:col>0</xdr:col>
      <xdr:colOff>15875</xdr:colOff>
      <xdr:row>0</xdr:row>
      <xdr:rowOff>0</xdr:rowOff>
    </xdr:from>
    <xdr:to>
      <xdr:col>0</xdr:col>
      <xdr:colOff>596900</xdr:colOff>
      <xdr:row>3</xdr:row>
      <xdr:rowOff>76888</xdr:rowOff>
    </xdr:to>
    <xdr:pic>
      <xdr:nvPicPr>
        <xdr:cNvPr id="10"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75" y="0"/>
          <a:ext cx="581025" cy="676963"/>
        </a:xfrm>
        <a:prstGeom prst="rect">
          <a:avLst/>
        </a:prstGeom>
      </xdr:spPr>
    </xdr:pic>
    <xdr:clientData/>
  </xdr:twoCellAnchor>
  <xdr:twoCellAnchor editAs="oneCell">
    <xdr:from>
      <xdr:col>35</xdr:col>
      <xdr:colOff>1756833</xdr:colOff>
      <xdr:row>0</xdr:row>
      <xdr:rowOff>31750</xdr:rowOff>
    </xdr:from>
    <xdr:to>
      <xdr:col>37</xdr:col>
      <xdr:colOff>645584</xdr:colOff>
      <xdr:row>2</xdr:row>
      <xdr:rowOff>175683</xdr:rowOff>
    </xdr:to>
    <xdr:pic>
      <xdr:nvPicPr>
        <xdr:cNvPr id="11"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266533" y="31750"/>
          <a:ext cx="1598084" cy="543983"/>
        </a:xfrm>
        <a:prstGeom prst="rect">
          <a:avLst/>
        </a:prstGeom>
      </xdr:spPr>
    </xdr:pic>
    <xdr:clientData/>
  </xdr:twoCellAnchor>
  <xdr:twoCellAnchor editAs="oneCell">
    <xdr:from>
      <xdr:col>25</xdr:col>
      <xdr:colOff>85725</xdr:colOff>
      <xdr:row>0</xdr:row>
      <xdr:rowOff>28575</xdr:rowOff>
    </xdr:from>
    <xdr:to>
      <xdr:col>36</xdr:col>
      <xdr:colOff>581025</xdr:colOff>
      <xdr:row>3</xdr:row>
      <xdr:rowOff>105463</xdr:rowOff>
    </xdr:to>
    <xdr:pic>
      <xdr:nvPicPr>
        <xdr:cNvPr id="12"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1108650" y="28575"/>
          <a:ext cx="581025" cy="676963"/>
        </a:xfrm>
        <a:prstGeom prst="rect">
          <a:avLst/>
        </a:prstGeom>
      </xdr:spPr>
    </xdr:pic>
    <xdr:clientData/>
  </xdr:twoCellAnchor>
  <xdr:oneCellAnchor>
    <xdr:from>
      <xdr:col>21</xdr:col>
      <xdr:colOff>1756833</xdr:colOff>
      <xdr:row>0</xdr:row>
      <xdr:rowOff>31750</xdr:rowOff>
    </xdr:from>
    <xdr:ext cx="1598084" cy="546100"/>
    <xdr:pic>
      <xdr:nvPicPr>
        <xdr:cNvPr id="13" name="Imagen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235833" y="31750"/>
          <a:ext cx="1598084" cy="546100"/>
        </a:xfrm>
        <a:prstGeom prst="rect">
          <a:avLst/>
        </a:prstGeom>
      </xdr:spPr>
    </xdr:pic>
    <xdr:clientData/>
  </xdr:oneCellAnchor>
  <xdr:oneCellAnchor>
    <xdr:from>
      <xdr:col>49</xdr:col>
      <xdr:colOff>1756833</xdr:colOff>
      <xdr:row>0</xdr:row>
      <xdr:rowOff>31750</xdr:rowOff>
    </xdr:from>
    <xdr:ext cx="1598084" cy="552147"/>
    <xdr:pic>
      <xdr:nvPicPr>
        <xdr:cNvPr id="14" name="Imagen 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725858" y="31750"/>
          <a:ext cx="1598084" cy="552147"/>
        </a:xfrm>
        <a:prstGeom prst="rect">
          <a:avLst/>
        </a:prstGeom>
      </xdr:spPr>
    </xdr:pic>
    <xdr:clientData/>
  </xdr:oneCellAnchor>
  <xdr:oneCellAnchor>
    <xdr:from>
      <xdr:col>39</xdr:col>
      <xdr:colOff>85725</xdr:colOff>
      <xdr:row>0</xdr:row>
      <xdr:rowOff>28575</xdr:rowOff>
    </xdr:from>
    <xdr:ext cx="581025" cy="689209"/>
    <xdr:pic>
      <xdr:nvPicPr>
        <xdr:cNvPr id="15" name="Imagen 7"/>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8082200" y="28575"/>
          <a:ext cx="581025" cy="68920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23</xdr:col>
      <xdr:colOff>104775</xdr:colOff>
      <xdr:row>0</xdr:row>
      <xdr:rowOff>0</xdr:rowOff>
    </xdr:from>
    <xdr:to>
      <xdr:col>24</xdr:col>
      <xdr:colOff>882135</xdr:colOff>
      <xdr:row>2</xdr:row>
      <xdr:rowOff>222750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049125" y="0"/>
          <a:ext cx="1863210" cy="622800"/>
        </a:xfrm>
        <a:prstGeom prst="rect">
          <a:avLst/>
        </a:prstGeom>
      </xdr:spPr>
    </xdr:pic>
    <xdr:clientData/>
  </xdr:twoCellAnchor>
  <xdr:twoCellAnchor editAs="oneCell">
    <xdr:from>
      <xdr:col>0</xdr:col>
      <xdr:colOff>142875</xdr:colOff>
      <xdr:row>0</xdr:row>
      <xdr:rowOff>0</xdr:rowOff>
    </xdr:from>
    <xdr:to>
      <xdr:col>0</xdr:col>
      <xdr:colOff>723900</xdr:colOff>
      <xdr:row>2</xdr:row>
      <xdr:rowOff>191188</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2875" y="0"/>
          <a:ext cx="581025" cy="591238"/>
        </a:xfrm>
        <a:prstGeom prst="rect">
          <a:avLst/>
        </a:prstGeom>
      </xdr:spPr>
    </xdr:pic>
    <xdr:clientData/>
  </xdr:twoCellAnchor>
  <xdr:twoCellAnchor editAs="oneCell">
    <xdr:from>
      <xdr:col>35</xdr:col>
      <xdr:colOff>0</xdr:colOff>
      <xdr:row>0</xdr:row>
      <xdr:rowOff>0</xdr:rowOff>
    </xdr:from>
    <xdr:to>
      <xdr:col>35</xdr:col>
      <xdr:colOff>1863210</xdr:colOff>
      <xdr:row>2</xdr:row>
      <xdr:rowOff>222750</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793075" y="0"/>
          <a:ext cx="1863210" cy="622800"/>
        </a:xfrm>
        <a:prstGeom prst="rect">
          <a:avLst/>
        </a:prstGeom>
      </xdr:spPr>
    </xdr:pic>
    <xdr:clientData/>
  </xdr:twoCellAnchor>
  <xdr:twoCellAnchor editAs="oneCell">
    <xdr:from>
      <xdr:col>25</xdr:col>
      <xdr:colOff>85725</xdr:colOff>
      <xdr:row>0</xdr:row>
      <xdr:rowOff>28575</xdr:rowOff>
    </xdr:from>
    <xdr:to>
      <xdr:col>25</xdr:col>
      <xdr:colOff>666750</xdr:colOff>
      <xdr:row>2</xdr:row>
      <xdr:rowOff>219763</xdr:rowOff>
    </xdr:to>
    <xdr:pic>
      <xdr:nvPicPr>
        <xdr:cNvPr id="5"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068425" y="28575"/>
          <a:ext cx="581025" cy="591238"/>
        </a:xfrm>
        <a:prstGeom prst="rect">
          <a:avLst/>
        </a:prstGeom>
      </xdr:spPr>
    </xdr:pic>
    <xdr:clientData/>
  </xdr:twoCellAnchor>
  <xdr:oneCellAnchor>
    <xdr:from>
      <xdr:col>21</xdr:col>
      <xdr:colOff>0</xdr:colOff>
      <xdr:row>0</xdr:row>
      <xdr:rowOff>0</xdr:rowOff>
    </xdr:from>
    <xdr:ext cx="1863210" cy="627563"/>
    <xdr:pic>
      <xdr:nvPicPr>
        <xdr:cNvPr id="7" name="Imagen 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242375" y="0"/>
          <a:ext cx="1863210" cy="627563"/>
        </a:xfrm>
        <a:prstGeom prst="rect">
          <a:avLst/>
        </a:prstGeom>
      </xdr:spPr>
    </xdr:pic>
    <xdr:clientData/>
  </xdr:oneCellAnchor>
  <xdr:oneCellAnchor>
    <xdr:from>
      <xdr:col>37</xdr:col>
      <xdr:colOff>104775</xdr:colOff>
      <xdr:row>0</xdr:row>
      <xdr:rowOff>0</xdr:rowOff>
    </xdr:from>
    <xdr:ext cx="1858845" cy="619625"/>
    <xdr:pic>
      <xdr:nvPicPr>
        <xdr:cNvPr id="8" name="Imagen 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40556" y="0"/>
          <a:ext cx="1858845" cy="619625"/>
        </a:xfrm>
        <a:prstGeom prst="rect">
          <a:avLst/>
        </a:prstGeom>
      </xdr:spPr>
    </xdr:pic>
    <xdr:clientData/>
  </xdr:oneCellAnchor>
  <xdr:oneCellAnchor>
    <xdr:from>
      <xdr:col>49</xdr:col>
      <xdr:colOff>0</xdr:colOff>
      <xdr:row>0</xdr:row>
      <xdr:rowOff>0</xdr:rowOff>
    </xdr:from>
    <xdr:ext cx="1863210" cy="619625"/>
    <xdr:pic>
      <xdr:nvPicPr>
        <xdr:cNvPr id="9" name="Imagen 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875391" y="0"/>
          <a:ext cx="1863210" cy="619625"/>
        </a:xfrm>
        <a:prstGeom prst="rect">
          <a:avLst/>
        </a:prstGeom>
      </xdr:spPr>
    </xdr:pic>
    <xdr:clientData/>
  </xdr:oneCellAnchor>
  <xdr:oneCellAnchor>
    <xdr:from>
      <xdr:col>39</xdr:col>
      <xdr:colOff>85725</xdr:colOff>
      <xdr:row>0</xdr:row>
      <xdr:rowOff>28575</xdr:rowOff>
    </xdr:from>
    <xdr:ext cx="581025" cy="588063"/>
    <xdr:pic>
      <xdr:nvPicPr>
        <xdr:cNvPr id="10" name="Imagen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055491" y="28575"/>
          <a:ext cx="581025" cy="58806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0</xdr:colOff>
      <xdr:row>70</xdr:row>
      <xdr:rowOff>14286</xdr:rowOff>
    </xdr:from>
    <xdr:to>
      <xdr:col>8</xdr:col>
      <xdr:colOff>895351</xdr:colOff>
      <xdr:row>88</xdr:row>
      <xdr:rowOff>76199</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838199</xdr:colOff>
      <xdr:row>89</xdr:row>
      <xdr:rowOff>109536</xdr:rowOff>
    </xdr:from>
    <xdr:to>
      <xdr:col>9</xdr:col>
      <xdr:colOff>333374</xdr:colOff>
      <xdr:row>105</xdr:row>
      <xdr:rowOff>114299</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752475</xdr:colOff>
      <xdr:row>72</xdr:row>
      <xdr:rowOff>52387</xdr:rowOff>
    </xdr:from>
    <xdr:to>
      <xdr:col>27</xdr:col>
      <xdr:colOff>161925</xdr:colOff>
      <xdr:row>89</xdr:row>
      <xdr:rowOff>85725</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219075</xdr:colOff>
      <xdr:row>89</xdr:row>
      <xdr:rowOff>180975</xdr:rowOff>
    </xdr:from>
    <xdr:to>
      <xdr:col>27</xdr:col>
      <xdr:colOff>390525</xdr:colOff>
      <xdr:row>107</xdr:row>
      <xdr:rowOff>23813</xdr:rowOff>
    </xdr:to>
    <xdr:graphicFrame macro="">
      <xdr:nvGraphicFramePr>
        <xdr:cNvPr id="8"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219075</xdr:colOff>
      <xdr:row>108</xdr:row>
      <xdr:rowOff>0</xdr:rowOff>
    </xdr:from>
    <xdr:to>
      <xdr:col>27</xdr:col>
      <xdr:colOff>390525</xdr:colOff>
      <xdr:row>125</xdr:row>
      <xdr:rowOff>33338</xdr:rowOff>
    </xdr:to>
    <xdr:graphicFrame macro="">
      <xdr:nvGraphicFramePr>
        <xdr:cNvPr id="9"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219075</xdr:colOff>
      <xdr:row>127</xdr:row>
      <xdr:rowOff>19050</xdr:rowOff>
    </xdr:from>
    <xdr:to>
      <xdr:col>27</xdr:col>
      <xdr:colOff>390525</xdr:colOff>
      <xdr:row>144</xdr:row>
      <xdr:rowOff>52388</xdr:rowOff>
    </xdr:to>
    <xdr:graphicFrame macro="">
      <xdr:nvGraphicFramePr>
        <xdr:cNvPr id="10"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17</xdr:col>
      <xdr:colOff>219075</xdr:colOff>
      <xdr:row>145</xdr:row>
      <xdr:rowOff>38100</xdr:rowOff>
    </xdr:from>
    <xdr:to>
      <xdr:col>27</xdr:col>
      <xdr:colOff>390525</xdr:colOff>
      <xdr:row>162</xdr:row>
      <xdr:rowOff>71438</xdr:rowOff>
    </xdr:to>
    <xdr:graphicFrame macro="">
      <xdr:nvGraphicFramePr>
        <xdr:cNvPr id="11"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57</xdr:col>
      <xdr:colOff>523875</xdr:colOff>
      <xdr:row>30</xdr:row>
      <xdr:rowOff>176212</xdr:rowOff>
    </xdr:from>
    <xdr:to>
      <xdr:col>63</xdr:col>
      <xdr:colOff>523875</xdr:colOff>
      <xdr:row>31</xdr:row>
      <xdr:rowOff>0</xdr:rowOff>
    </xdr:to>
    <xdr:graphicFrame macro="">
      <xdr:nvGraphicFramePr>
        <xdr:cNvPr id="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66675</xdr:colOff>
      <xdr:row>43</xdr:row>
      <xdr:rowOff>90487</xdr:rowOff>
    </xdr:from>
    <xdr:to>
      <xdr:col>6</xdr:col>
      <xdr:colOff>371475</xdr:colOff>
      <xdr:row>57</xdr:row>
      <xdr:rowOff>157162</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1704975</xdr:colOff>
      <xdr:row>32</xdr:row>
      <xdr:rowOff>0</xdr:rowOff>
    </xdr:from>
    <xdr:to>
      <xdr:col>2</xdr:col>
      <xdr:colOff>1885950</xdr:colOff>
      <xdr:row>32</xdr:row>
      <xdr:rowOff>266700</xdr:rowOff>
    </xdr:to>
    <xdr:sp macro="" textlink="">
      <xdr:nvSpPr>
        <xdr:cNvPr id="2" name="Cuadro de texto 12"/>
        <xdr:cNvSpPr txBox="1"/>
      </xdr:nvSpPr>
      <xdr:spPr>
        <a:xfrm>
          <a:off x="3566795" y="4664710"/>
          <a:ext cx="18097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VICERRECTORIA%20ACADEMICA/2017/SOLICITUDES%20PLANEACION/TABLERO%20PDI%20USC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Ancizar/Mis%20documentos/Downloads/PDI%20TRIMESTRE%203-2017%20VIP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Ancizar/Mis%20documentos/Downloads/3-SEGUIMIENTO%20BIENESTAR%20PDI%202017%203%20TERCER%20TIRMESTR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nts%20and%20Settings/Ancizar/Mis%20documentos/Downloads/PDI%20CONSOLIDADO%20VICE%20ADTIVA%20(Consolidado%203trimestr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cala"/>
      <sheetName val="SEGUIMIENTO"/>
      <sheetName val="MATRIZ BASE "/>
      <sheetName val="CONSOLIDADO TABLERO"/>
      <sheetName val="T-ESTRATEGICO"/>
      <sheetName val="T-FINANCIERO"/>
      <sheetName val="TABLERO DE ALERTAS -ESTRATEGICO"/>
      <sheetName val="CONSOLIDADO -ESTRATEGICO"/>
      <sheetName val="RANKING"/>
      <sheetName val="TABLERO DE ALERTAS -FINANCIERO"/>
      <sheetName val="S. FORMACION"/>
      <sheetName val="S. PROY. SOCIAL "/>
      <sheetName val="S. INVESTIGACIÓN"/>
      <sheetName val="S. BIENESTAR"/>
      <sheetName val="S. ADMINISTRATIVO"/>
      <sheetName val="Ejecución $"/>
      <sheetName val="Asignación"/>
      <sheetName val="BIENESTAR"/>
      <sheetName val="PROPYECCION SOCIAL"/>
      <sheetName val="INVESTIGACIÓN"/>
      <sheetName val="FORMACIÓN"/>
      <sheetName val="ADMINISTRATIVO"/>
      <sheetName val="Plan desarroollo"/>
    </sheetNames>
    <sheetDataSet>
      <sheetData sheetId="0"/>
      <sheetData sheetId="1">
        <row r="9">
          <cell r="C9" t="str">
            <v>SF-PY1.1</v>
          </cell>
          <cell r="D9" t="str">
            <v>Actividades de Inducción y Reinducción con docentes, estudiantes y Administrativos para promover el conocimiento de la Teleología.</v>
          </cell>
          <cell r="E9">
            <v>510</v>
          </cell>
          <cell r="I9">
            <v>44000000</v>
          </cell>
        </row>
        <row r="10">
          <cell r="C10" t="str">
            <v>SF-PY1.2</v>
          </cell>
          <cell r="D10" t="str">
            <v>Actividades para promover la Apropiación de la teleología Institucional. (Misión, La Visión, el Proyecto Educativo Institucional PEU).</v>
          </cell>
          <cell r="E10">
            <v>510</v>
          </cell>
          <cell r="I10">
            <v>53854378</v>
          </cell>
        </row>
        <row r="11">
          <cell r="C11" t="str">
            <v>SF-PY1.3</v>
          </cell>
          <cell r="D11" t="str">
            <v>Promoción de la imagen corporativa institucional, portafolio de servicios-oferta académica.</v>
          </cell>
          <cell r="E11">
            <v>510</v>
          </cell>
          <cell r="I11">
            <v>29594219</v>
          </cell>
        </row>
        <row r="12">
          <cell r="I12">
            <v>36000000</v>
          </cell>
        </row>
        <row r="13">
          <cell r="I13">
            <v>178290131</v>
          </cell>
        </row>
        <row r="14">
          <cell r="I14">
            <v>359000000</v>
          </cell>
        </row>
        <row r="15">
          <cell r="I15">
            <v>30000000</v>
          </cell>
        </row>
        <row r="16">
          <cell r="I16">
            <v>23240492</v>
          </cell>
        </row>
        <row r="17">
          <cell r="I17">
            <v>0</v>
          </cell>
        </row>
        <row r="18">
          <cell r="I18">
            <v>360600000</v>
          </cell>
        </row>
        <row r="19">
          <cell r="I19">
            <v>100000000</v>
          </cell>
        </row>
        <row r="20">
          <cell r="I20">
            <v>75092920</v>
          </cell>
        </row>
        <row r="21">
          <cell r="I21">
            <v>103646000</v>
          </cell>
        </row>
        <row r="22">
          <cell r="I22">
            <v>34000000</v>
          </cell>
        </row>
        <row r="23">
          <cell r="I23">
            <v>165000000</v>
          </cell>
        </row>
        <row r="24">
          <cell r="I24">
            <v>32440391</v>
          </cell>
        </row>
        <row r="25">
          <cell r="I25">
            <v>0</v>
          </cell>
        </row>
        <row r="26">
          <cell r="I26">
            <v>0</v>
          </cell>
        </row>
        <row r="28">
          <cell r="I28">
            <v>12000000</v>
          </cell>
        </row>
        <row r="29">
          <cell r="I29">
            <v>73500000</v>
          </cell>
        </row>
        <row r="30">
          <cell r="I30">
            <v>20000000</v>
          </cell>
        </row>
        <row r="31">
          <cell r="I31">
            <v>1730258531</v>
          </cell>
          <cell r="J31">
            <v>356119684</v>
          </cell>
          <cell r="K31">
            <v>1374138847</v>
          </cell>
          <cell r="W31">
            <v>1816258531</v>
          </cell>
          <cell r="X31">
            <v>1383171102</v>
          </cell>
          <cell r="Y31">
            <v>433087429</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row r="61">
          <cell r="B61">
            <v>1730258531</v>
          </cell>
          <cell r="C61">
            <v>356119684</v>
          </cell>
          <cell r="D61">
            <v>1374138847</v>
          </cell>
        </row>
      </sheetData>
      <sheetData sheetId="16">
        <row r="6">
          <cell r="A6" t="str">
            <v>SF-PY2.1</v>
          </cell>
          <cell r="B6" t="str">
            <v>Apoyo a la realización de estudios y diseños para la creación de programas de pregrado y postgrados.</v>
          </cell>
          <cell r="C6">
            <v>510</v>
          </cell>
        </row>
        <row r="7">
          <cell r="A7" t="str">
            <v>SF-PY3.1</v>
          </cell>
          <cell r="B7" t="str">
            <v xml:space="preserve"> Escuela de Formación Pedagógica
(formación y acompañamiento en  Pedagogía, alcance y materialización del PEU y  labor de consejerías) Graduación y Permanencia.</v>
          </cell>
          <cell r="C7">
            <v>310</v>
          </cell>
        </row>
        <row r="8">
          <cell r="A8" t="str">
            <v>SF-PY3.2</v>
          </cell>
          <cell r="B8" t="str">
            <v>Capacitación Individual Docente.</v>
          </cell>
          <cell r="C8">
            <v>310</v>
          </cell>
        </row>
        <row r="9">
          <cell r="A9" t="str">
            <v>SF-PY3.3</v>
          </cell>
          <cell r="B9" t="str">
            <v xml:space="preserve"> Interlingua para Docentes.</v>
          </cell>
          <cell r="C9">
            <v>310</v>
          </cell>
        </row>
        <row r="10">
          <cell r="A10" t="str">
            <v>SF-PY3.4</v>
          </cell>
          <cell r="B10" t="str">
            <v>Oferta de Cursos Intersemestrales sobre áreas de conocimiento y culturas latinoaméricanas,  formación para la democracia.</v>
          </cell>
          <cell r="C10">
            <v>310</v>
          </cell>
        </row>
        <row r="11">
          <cell r="A11" t="str">
            <v>SF-PY3.5</v>
          </cell>
          <cell r="B11" t="str">
            <v>Estudio de Factibilidad Proyecto Inmersión Total en Casa.</v>
          </cell>
          <cell r="C11">
            <v>310</v>
          </cell>
        </row>
        <row r="12">
          <cell r="A12" t="str">
            <v>SF-PY4.1</v>
          </cell>
          <cell r="B12" t="str">
            <v>Apoyo a los procesos de autoevaluación en cada programa; Talleres de Analisis de información de producción de juicios de valor; Talleres de socialización de resultados; conocimientos de referencias; asesorias de pares colaborativos; reproducción de material.</v>
          </cell>
          <cell r="C12">
            <v>510</v>
          </cell>
        </row>
        <row r="13">
          <cell r="A13" t="str">
            <v>SF-PY4.2</v>
          </cell>
          <cell r="B13" t="str">
            <v>Aprestamiento en Lectura Crítica y Matemática- Plan de Fomento a la Calidad-FASE I-Permanencia y graduación.</v>
          </cell>
          <cell r="C13">
            <v>510</v>
          </cell>
        </row>
        <row r="14">
          <cell r="A14" t="str">
            <v>SF-PY4.3</v>
          </cell>
          <cell r="B14" t="str">
            <v>Fortalecimiento de las Competencias Genéricas Saber Pro- Plan de Fomento a la Calidad-FASE I -Permanencia y graduación.</v>
          </cell>
          <cell r="C14">
            <v>510</v>
          </cell>
        </row>
        <row r="15">
          <cell r="A15" t="str">
            <v>SF-PY4.4</v>
          </cell>
          <cell r="B15" t="str">
            <v>Consejerías Académicas -Plan de Fomento a la Calidad-FASE I-Permanencia y graduación.</v>
          </cell>
          <cell r="C15">
            <v>510</v>
          </cell>
        </row>
        <row r="16">
          <cell r="A16" t="str">
            <v>SF-PY4.5</v>
          </cell>
          <cell r="B16" t="str">
            <v>Apoyo a la Politica de Inclusión-Permanencia y graduación.</v>
          </cell>
          <cell r="C16">
            <v>510</v>
          </cell>
        </row>
        <row r="17">
          <cell r="A17" t="str">
            <v>SF-PY5.1</v>
          </cell>
          <cell r="B17" t="str">
            <v>Funcionamiento de la Unidad de Apoyo a los Procesos de Autoevaluación  y Acreditación Institucional.</v>
          </cell>
          <cell r="C17">
            <v>510</v>
          </cell>
        </row>
        <row r="18">
          <cell r="A18" t="str">
            <v>SF-PY5.2</v>
          </cell>
          <cell r="B18" t="str">
            <v>Procesos de Autoevaluación y Acreditación Institucional; Capacitaciones  y encuentros para apoyo con Universidades del país.</v>
          </cell>
          <cell r="C18">
            <v>510</v>
          </cell>
        </row>
        <row r="19">
          <cell r="A19" t="str">
            <v>SF-PY5.3</v>
          </cell>
          <cell r="B19" t="str">
            <v>Creación de material educativo en formato digital.</v>
          </cell>
          <cell r="C19">
            <v>510</v>
          </cell>
        </row>
        <row r="20">
          <cell r="A20" t="str">
            <v>SF-PY6.1</v>
          </cell>
          <cell r="C20">
            <v>510</v>
          </cell>
        </row>
        <row r="21">
          <cell r="A21" t="str">
            <v>SF-PY6.2</v>
          </cell>
          <cell r="C21">
            <v>510</v>
          </cell>
        </row>
        <row r="22">
          <cell r="A22" t="str">
            <v>SF-PY7.1</v>
          </cell>
          <cell r="B22" t="str">
            <v>Portal Laboral, fortalecimiento del vínculo empresa-universidad-estado.</v>
          </cell>
          <cell r="C22">
            <v>510</v>
          </cell>
        </row>
        <row r="23">
          <cell r="A23" t="str">
            <v>SF-PY7.2</v>
          </cell>
          <cell r="B23" t="str">
            <v>Programa de Seguimiento a Graduados, Apoyo a procesos de educación continuada.</v>
          </cell>
          <cell r="C23">
            <v>510</v>
          </cell>
        </row>
        <row r="24">
          <cell r="A24" t="str">
            <v>SF-PY7.3</v>
          </cell>
          <cell r="B24" t="str">
            <v>Mejoramiento de la infraestructura tecnologica para el segumiento a egresados.</v>
          </cell>
          <cell r="C24">
            <v>510</v>
          </cell>
        </row>
      </sheetData>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cala"/>
      <sheetName val="S. FORMACION"/>
      <sheetName val="S. PROY. SOCIAL "/>
      <sheetName val="S. INVESTIGACIÓN"/>
      <sheetName val="S. BIENESTAR"/>
      <sheetName val="S. ADMINISTRATIVO"/>
      <sheetName val="SEGUIMIENTO"/>
      <sheetName val="Ejecución $"/>
      <sheetName val="ADMINISTRATIVO"/>
      <sheetName val="BIENESTAR"/>
      <sheetName val="PROPYECCION SOCIAL"/>
      <sheetName val="INVESTIGACIÓN"/>
      <sheetName val="FORMACIÓN"/>
      <sheetName val="Asignación"/>
      <sheetName val="Plan desarroollo"/>
    </sheetNames>
    <sheetDataSet>
      <sheetData sheetId="0" refreshError="1"/>
      <sheetData sheetId="1" refreshError="1"/>
      <sheetData sheetId="2">
        <row r="36">
          <cell r="W36">
            <v>2432390317</v>
          </cell>
          <cell r="X36">
            <v>1497180182</v>
          </cell>
          <cell r="Y36">
            <v>935210135</v>
          </cell>
          <cell r="AK36">
            <v>2532390317</v>
          </cell>
          <cell r="AL36">
            <v>1993367453</v>
          </cell>
          <cell r="AM36">
            <v>539022864</v>
          </cell>
        </row>
      </sheetData>
      <sheetData sheetId="3">
        <row r="42">
          <cell r="I42">
            <v>6782038629</v>
          </cell>
          <cell r="J42">
            <v>1613550876</v>
          </cell>
          <cell r="K42">
            <v>5149013173</v>
          </cell>
        </row>
      </sheetData>
      <sheetData sheetId="4" refreshError="1"/>
      <sheetData sheetId="5" refreshError="1"/>
      <sheetData sheetId="6">
        <row r="32">
          <cell r="C32" t="str">
            <v>SI-PY1.1</v>
          </cell>
          <cell r="D32" t="str">
            <v>Adquisición  de equipos de laboratorio para investigación.</v>
          </cell>
          <cell r="E32">
            <v>410</v>
          </cell>
          <cell r="I32">
            <v>150000000</v>
          </cell>
        </row>
        <row r="33">
          <cell r="C33" t="str">
            <v>SI-PY1.2</v>
          </cell>
          <cell r="D33" t="str">
            <v xml:space="preserve"> Adquisición y renovación de  licencias software Y bases de datos especializadas  para  actividades de investigaciòn.</v>
          </cell>
          <cell r="E33">
            <v>410</v>
          </cell>
          <cell r="I33">
            <v>350000000</v>
          </cell>
        </row>
        <row r="34">
          <cell r="C34" t="str">
            <v>SI-PY1.3</v>
          </cell>
          <cell r="D34" t="str">
            <v>Apoyo a la formación de alto nivel (Maestrias, doctorados, posdoctorados).</v>
          </cell>
          <cell r="E34">
            <v>410</v>
          </cell>
          <cell r="I34">
            <v>1418000000</v>
          </cell>
        </row>
        <row r="35">
          <cell r="C35" t="str">
            <v>SI-PY1.4</v>
          </cell>
          <cell r="D35" t="str">
            <v>Fortalecimiento de las capacidades investigativas para la acreditación Institucional</v>
          </cell>
          <cell r="E35">
            <v>410</v>
          </cell>
          <cell r="I35">
            <v>15000000</v>
          </cell>
        </row>
        <row r="36">
          <cell r="C36" t="str">
            <v>SI-PY1.5</v>
          </cell>
          <cell r="D36" t="str">
            <v>Fortalecimiento  de las capacidades investigativas de grupos de investigación en modalidad Proyectos.</v>
          </cell>
          <cell r="E36">
            <v>410</v>
          </cell>
          <cell r="I36">
            <v>440305826</v>
          </cell>
        </row>
        <row r="37">
          <cell r="C37" t="str">
            <v>SI-PY2.1</v>
          </cell>
          <cell r="D37" t="str">
            <v>Formulación y ejecución de dos talleres para reformular dos currículos.</v>
          </cell>
          <cell r="E37">
            <v>410</v>
          </cell>
          <cell r="I37">
            <v>5000000</v>
          </cell>
        </row>
        <row r="38">
          <cell r="C38" t="str">
            <v>SI-PY2.2</v>
          </cell>
          <cell r="D38" t="str">
            <v>Taller con experto en Gestión  y apropiación social del conocimiento.</v>
          </cell>
          <cell r="E38">
            <v>410</v>
          </cell>
          <cell r="I38">
            <v>5000000</v>
          </cell>
        </row>
        <row r="39">
          <cell r="C39" t="str">
            <v>SI-PY2.3</v>
          </cell>
          <cell r="D39" t="str">
            <v>Acciones  de sensibilización sobre propuestas de investigación en el marco del programa ONDAS.</v>
          </cell>
          <cell r="E39">
            <v>410</v>
          </cell>
          <cell r="I39">
            <v>0</v>
          </cell>
        </row>
        <row r="40">
          <cell r="C40" t="str">
            <v>SI-PY2.4</v>
          </cell>
          <cell r="D40" t="str">
            <v>Apoyo al desarrollo de los proyectos formulados por los grupos, en el marco del convenio ONDAS.</v>
          </cell>
          <cell r="E40">
            <v>410</v>
          </cell>
          <cell r="I40">
            <v>18000000</v>
          </cell>
        </row>
        <row r="41">
          <cell r="C41" t="str">
            <v>SI-PY2.5</v>
          </cell>
          <cell r="D41" t="str">
            <v>Apoyo a la formulación, ejecución y divulgación de eventos académicos.</v>
          </cell>
          <cell r="E41">
            <v>410</v>
          </cell>
          <cell r="I41">
            <v>50000000</v>
          </cell>
        </row>
        <row r="42">
          <cell r="C42" t="str">
            <v>SI-PY2.6</v>
          </cell>
          <cell r="D42" t="str">
            <v>Apoyo a docentes para  realizar ponencias en eventos nacionales e internacionales.</v>
          </cell>
          <cell r="E42">
            <v>410</v>
          </cell>
          <cell r="I42">
            <v>50000000</v>
          </cell>
        </row>
        <row r="43">
          <cell r="C43" t="str">
            <v>SI-PY2.7</v>
          </cell>
          <cell r="D43" t="str">
            <v>Consolidación de grupos de Investigación.</v>
          </cell>
          <cell r="E43">
            <v>410</v>
          </cell>
          <cell r="I43">
            <v>90000000</v>
          </cell>
        </row>
        <row r="44">
          <cell r="C44" t="str">
            <v>SI-PY2.8</v>
          </cell>
          <cell r="D44" t="str">
            <v>Capacitación y participación de la Facultad de Ciencias Jurídicas y Políticas en eventos de formación.</v>
          </cell>
          <cell r="E44">
            <v>410</v>
          </cell>
          <cell r="I44">
            <v>8000000</v>
          </cell>
        </row>
        <row r="45">
          <cell r="C45" t="str">
            <v>SI-PY2.9</v>
          </cell>
          <cell r="D45" t="str">
            <v>Apoyo al desarrollo de los Doctorados: Agroindustria y Desarrollo Agricola Sostenible;  Educación y Cultura Ambiental; en Ciencias de la Salud.</v>
          </cell>
          <cell r="E45">
            <v>410</v>
          </cell>
          <cell r="I45">
            <v>215907499</v>
          </cell>
        </row>
        <row r="46">
          <cell r="C46" t="str">
            <v>SI-PY3.1</v>
          </cell>
          <cell r="D46" t="str">
            <v>Financiación de proyectos de investigación en modalidad trabajos de grado.</v>
          </cell>
          <cell r="E46">
            <v>410</v>
          </cell>
          <cell r="I46">
            <v>40000000</v>
          </cell>
        </row>
        <row r="47">
          <cell r="C47" t="str">
            <v>SI-PY3.2</v>
          </cell>
          <cell r="D47" t="str">
            <v>Financiación de proyectos ejecutados por semilleros de investigación.</v>
          </cell>
          <cell r="E47">
            <v>410</v>
          </cell>
          <cell r="I47">
            <v>70000000</v>
          </cell>
        </row>
        <row r="48">
          <cell r="C48" t="str">
            <v>SI-PY3.3</v>
          </cell>
          <cell r="D48" t="str">
            <v>Financiar la vinculación de  jóvenes investigadores.</v>
          </cell>
          <cell r="E48">
            <v>410</v>
          </cell>
          <cell r="I48">
            <v>80000000</v>
          </cell>
        </row>
        <row r="49">
          <cell r="C49" t="str">
            <v>SI-PY3.4</v>
          </cell>
          <cell r="D49" t="str">
            <v>Capacitación y Desarrollo de talleres para la formación de la investigación.</v>
          </cell>
          <cell r="E49">
            <v>410</v>
          </cell>
          <cell r="I49">
            <v>0</v>
          </cell>
        </row>
        <row r="50">
          <cell r="C50" t="str">
            <v>SI-PY4.1</v>
          </cell>
          <cell r="D50" t="str">
            <v>Financiar proyectos de investigación de convocatorias internas  y externas.</v>
          </cell>
          <cell r="E50">
            <v>410</v>
          </cell>
          <cell r="I50">
            <v>80000000</v>
          </cell>
        </row>
        <row r="51">
          <cell r="C51" t="str">
            <v>SI-PY4.2</v>
          </cell>
          <cell r="D51" t="str">
            <v>Apoyo para la consolidación de grupos de investigación.</v>
          </cell>
          <cell r="E51">
            <v>410</v>
          </cell>
          <cell r="I51">
            <v>35000000</v>
          </cell>
        </row>
        <row r="52">
          <cell r="C52" t="str">
            <v>SI-PY5.1</v>
          </cell>
          <cell r="D52" t="str">
            <v>Convenios cofinanciados.</v>
          </cell>
          <cell r="E52">
            <v>410</v>
          </cell>
          <cell r="I52">
            <v>3157557814</v>
          </cell>
        </row>
        <row r="53">
          <cell r="C53" t="str">
            <v>SI-PY5.2</v>
          </cell>
          <cell r="D53" t="str">
            <v>Gestión de proyectos de investigación en cooperación  regional nacional y/o internacional.</v>
          </cell>
          <cell r="E53">
            <v>410</v>
          </cell>
          <cell r="I53">
            <v>82000000</v>
          </cell>
        </row>
        <row r="54">
          <cell r="C54" t="str">
            <v>SI-PY5.3</v>
          </cell>
          <cell r="D54" t="str">
            <v>Divulgación del conocimiento.</v>
          </cell>
          <cell r="E54">
            <v>410</v>
          </cell>
          <cell r="I54">
            <v>0</v>
          </cell>
        </row>
        <row r="55">
          <cell r="C55" t="str">
            <v>SI-PY6.1</v>
          </cell>
          <cell r="D55" t="str">
            <v>Diseño de aplicativos digitales para divulgación investigación.</v>
          </cell>
          <cell r="E55">
            <v>410</v>
          </cell>
          <cell r="I55">
            <v>0</v>
          </cell>
        </row>
        <row r="56">
          <cell r="C56" t="str">
            <v>SI-PY6.2</v>
          </cell>
          <cell r="D56" t="str">
            <v>Elaboración y publicación del catálogo y portafolio de productos  Editorial Universidad Surcolombiana.</v>
          </cell>
          <cell r="E56">
            <v>410</v>
          </cell>
          <cell r="I56">
            <v>0</v>
          </cell>
        </row>
        <row r="57">
          <cell r="C57" t="str">
            <v>SI-PY6.3</v>
          </cell>
          <cell r="D57" t="str">
            <v xml:space="preserve">Adquisión gestores bibliográficos. </v>
          </cell>
          <cell r="E57">
            <v>410</v>
          </cell>
          <cell r="I57">
            <v>0</v>
          </cell>
        </row>
        <row r="58">
          <cell r="C58" t="str">
            <v>SI-PY6.4</v>
          </cell>
          <cell r="D58" t="str">
            <v>Apoyo para la gestión de la investigación  a traves de membresias (ASEUC, EULAC, ABEC, DOI).</v>
          </cell>
          <cell r="E58">
            <v>410</v>
          </cell>
          <cell r="I58">
            <v>0</v>
          </cell>
        </row>
        <row r="59">
          <cell r="C59" t="str">
            <v>SI-PY7.1</v>
          </cell>
          <cell r="D59" t="str">
            <v>Adquisión  base datos especializadas para investigación.</v>
          </cell>
          <cell r="E59">
            <v>410</v>
          </cell>
          <cell r="I59">
            <v>0</v>
          </cell>
        </row>
        <row r="60">
          <cell r="C60" t="str">
            <v>SI-PY7.2</v>
          </cell>
          <cell r="D60" t="str">
            <v>Apoyo a centro de documentación archivistica.</v>
          </cell>
          <cell r="E60">
            <v>410</v>
          </cell>
          <cell r="I60">
            <v>0</v>
          </cell>
        </row>
        <row r="61">
          <cell r="C61" t="str">
            <v>SI-PY8.1</v>
          </cell>
          <cell r="D61" t="str">
            <v>Apoyo a la creación y fortalecimiento de centros de investigación y vigilancia tecnológica e innovación.</v>
          </cell>
          <cell r="E61">
            <v>410</v>
          </cell>
          <cell r="I61">
            <v>50000000</v>
          </cell>
        </row>
        <row r="62">
          <cell r="C62" t="str">
            <v>SI-PY8.2</v>
          </cell>
          <cell r="D62" t="str">
            <v>Apoyo a Proyectos de Investigación ejecutados por los Centros de Desarrollo Tecnológicos.</v>
          </cell>
          <cell r="E62">
            <v>410</v>
          </cell>
          <cell r="I62">
            <v>55000000</v>
          </cell>
        </row>
        <row r="63">
          <cell r="C63" t="str">
            <v>SI-PY9.1</v>
          </cell>
          <cell r="D63" t="str">
            <v xml:space="preserve">Evaluación de artículos, corrección de estilo, diseño, diagramación, impresión y publicación de revistas institucionales. </v>
          </cell>
          <cell r="E63">
            <v>410</v>
          </cell>
          <cell r="I63">
            <v>40000000</v>
          </cell>
        </row>
        <row r="64">
          <cell r="C64" t="str">
            <v>SI-PY9.2</v>
          </cell>
          <cell r="D64" t="str">
            <v xml:space="preserve">Capacitación a editores de revistas científicas;  Taller escritura de artìculos cientìficos. </v>
          </cell>
          <cell r="E64">
            <v>410</v>
          </cell>
          <cell r="I64">
            <v>10000000</v>
          </cell>
        </row>
        <row r="65">
          <cell r="C65" t="str">
            <v>SI-PY9.3</v>
          </cell>
          <cell r="D65" t="str">
            <v xml:space="preserve">Evaluación, corrección estilo, diagramación  y publicación de libros en las diferentes modalidades.   </v>
          </cell>
          <cell r="E65">
            <v>410</v>
          </cell>
          <cell r="I65">
            <v>130000000</v>
          </cell>
        </row>
        <row r="66">
          <cell r="C66" t="str">
            <v>SI-PY9.4</v>
          </cell>
          <cell r="D66" t="str">
            <v>Gestión para la indexación de revistas institucionales.</v>
          </cell>
          <cell r="E66">
            <v>410</v>
          </cell>
          <cell r="I66">
            <v>25000000</v>
          </cell>
        </row>
        <row r="67">
          <cell r="C67" t="str">
            <v>SI-PY9.5</v>
          </cell>
          <cell r="D67" t="str">
            <v>Apoyo a la consolidación de la editorial Surcolombiana y revistas institucionales.</v>
          </cell>
          <cell r="E67">
            <v>410</v>
          </cell>
          <cell r="I67">
            <v>92267490</v>
          </cell>
        </row>
        <row r="68">
          <cell r="C68" t="str">
            <v>SI-PY9.6</v>
          </cell>
          <cell r="D68" t="str">
            <v>Fortalecimiento, consolidación y mejoramiento de la calidad editorial de la Revista Jurídica Piélagus.</v>
          </cell>
          <cell r="E68">
            <v>410</v>
          </cell>
          <cell r="I68">
            <v>20000000</v>
          </cell>
        </row>
        <row r="69">
          <cell r="W69">
            <v>7127077871</v>
          </cell>
          <cell r="X69">
            <v>3075142429</v>
          </cell>
          <cell r="Y69">
            <v>4051935442</v>
          </cell>
        </row>
        <row r="70">
          <cell r="C70" t="str">
            <v>SP-PY1.1</v>
          </cell>
          <cell r="D70" t="str">
            <v>Apoyo a la movilidad académica de docentes, estudiantes y personal administrativo y expertos invitados.</v>
          </cell>
          <cell r="E70">
            <v>520</v>
          </cell>
        </row>
        <row r="71">
          <cell r="C71" t="str">
            <v>SP-PY1.2</v>
          </cell>
          <cell r="D71" t="str">
            <v>Apoyo a la internacionalización de la investigación y la proyección social.</v>
          </cell>
          <cell r="E71">
            <v>520</v>
          </cell>
        </row>
        <row r="72">
          <cell r="C72" t="str">
            <v>SP-PY1.3</v>
          </cell>
          <cell r="D72" t="str">
            <v>Apoyo a los procesos y fortalecimiento de alianzas académico-administrativas entre la Universidad y organismos públicos y privados.</v>
          </cell>
          <cell r="E72">
            <v>520</v>
          </cell>
        </row>
        <row r="73">
          <cell r="C73" t="str">
            <v>SP-PY2.1</v>
          </cell>
          <cell r="D73" t="str">
            <v>Apoyo y gestión en acciones, proyectos y eventos para regionalización.</v>
          </cell>
          <cell r="E73">
            <v>520</v>
          </cell>
        </row>
        <row r="74">
          <cell r="C74" t="str">
            <v>SP-PY3.1</v>
          </cell>
          <cell r="D74" t="str">
            <v>Macroproyectos de Proyección social cofinanciados por la Universidad Surcolombiana.</v>
          </cell>
          <cell r="E74">
            <v>520</v>
          </cell>
        </row>
        <row r="75">
          <cell r="C75" t="str">
            <v>SP-PY3.2</v>
          </cell>
          <cell r="D75" t="str">
            <v>Proyectos solidarios de menor cuantía cofinanciados  por la Universidad Surcolombiana.</v>
          </cell>
          <cell r="E75">
            <v>520</v>
          </cell>
        </row>
        <row r="76">
          <cell r="C76" t="str">
            <v>SP-PY3.3</v>
          </cell>
          <cell r="D76" t="str">
            <v>Apoyo logístico a proyectos  de Responsabilidad Social Universitaria.</v>
          </cell>
          <cell r="E76">
            <v>520</v>
          </cell>
        </row>
        <row r="77">
          <cell r="C77" t="str">
            <v>SP-PY3.4</v>
          </cell>
          <cell r="D77" t="str">
            <v>Apoyos a la realización y participación en  eventos de proyección social.</v>
          </cell>
          <cell r="E77">
            <v>520</v>
          </cell>
        </row>
        <row r="78">
          <cell r="C78" t="str">
            <v>SP-PY3.5</v>
          </cell>
          <cell r="D78" t="str">
            <v>Apoyos financieros a la suscripción de convenios interinstitucionales.</v>
          </cell>
          <cell r="E78">
            <v>520</v>
          </cell>
        </row>
        <row r="79">
          <cell r="C79" t="str">
            <v>SP-PY3.6</v>
          </cell>
          <cell r="D79" t="str">
            <v>Apoyo a la gestión academico-administrativa de la Proyección Social.</v>
          </cell>
          <cell r="E79">
            <v>520</v>
          </cell>
        </row>
        <row r="80">
          <cell r="C80" t="str">
            <v>SP-PY3.7</v>
          </cell>
          <cell r="D80" t="str">
            <v>Apoyos cursos de formación continuada a egresados de las sedes Neiva, Garzón, Pitalito y la Plata.</v>
          </cell>
          <cell r="E80">
            <v>520</v>
          </cell>
          <cell r="I80">
            <v>0</v>
          </cell>
        </row>
        <row r="81">
          <cell r="C81" t="str">
            <v>SP-PY3.8</v>
          </cell>
          <cell r="D81" t="str">
            <v>Apoyo anual para el fortalecimiento y consolidación del Programa de Gestión Tecnológica.</v>
          </cell>
          <cell r="E81">
            <v>520</v>
          </cell>
          <cell r="I81">
            <v>0</v>
          </cell>
        </row>
        <row r="82">
          <cell r="C82" t="str">
            <v>SP-PY4.1</v>
          </cell>
        </row>
        <row r="83">
          <cell r="C83" t="str">
            <v>SP-PY4.3</v>
          </cell>
          <cell r="D83" t="str">
            <v>Modernización de la Innovación y/o emprendimiento en el Plan de Estudios.</v>
          </cell>
          <cell r="E83">
            <v>520</v>
          </cell>
          <cell r="I83">
            <v>0</v>
          </cell>
        </row>
        <row r="84">
          <cell r="C84" t="str">
            <v>SP-PY4.4</v>
          </cell>
          <cell r="D84" t="str">
            <v>Dotación, compra de material P.O.P, Didactico y Bibliografico de la Unidad de Emprendimiento.</v>
          </cell>
          <cell r="E84">
            <v>520</v>
          </cell>
          <cell r="I84">
            <v>0</v>
          </cell>
        </row>
        <row r="85">
          <cell r="C85" t="str">
            <v>SP-PY4.5</v>
          </cell>
          <cell r="D85" t="str">
            <v>Apoyo en la gestión de proyectos de emprendimiento e innovación.</v>
          </cell>
          <cell r="E85">
            <v>520</v>
          </cell>
          <cell r="I85">
            <v>0</v>
          </cell>
        </row>
        <row r="86">
          <cell r="C86" t="str">
            <v>SP-PY4.6</v>
          </cell>
          <cell r="D86" t="str">
            <v xml:space="preserve">Selección y formalización del equipo de trabajo.  </v>
          </cell>
          <cell r="E86">
            <v>520</v>
          </cell>
          <cell r="I86">
            <v>0</v>
          </cell>
        </row>
        <row r="87">
          <cell r="C87" t="str">
            <v>SP-PY4.7</v>
          </cell>
          <cell r="D87" t="str">
            <v>Movilidad Visitas Institucionales, Nacionales e Internacionales.</v>
          </cell>
          <cell r="E87">
            <v>520</v>
          </cell>
          <cell r="I87">
            <v>0</v>
          </cell>
        </row>
        <row r="91">
          <cell r="C91" t="str">
            <v>SP-PY6.1</v>
          </cell>
          <cell r="D91" t="str">
            <v>Apoyo a la gestión de proyectos de agenda social.</v>
          </cell>
          <cell r="E91">
            <v>520</v>
          </cell>
        </row>
        <row r="92">
          <cell r="C92" t="str">
            <v>SP-PY6.2</v>
          </cell>
          <cell r="D92" t="str">
            <v>Creación y puesta en funcionamiento del Observatorio Regional de Políticas Públicas.</v>
          </cell>
          <cell r="E92">
            <v>520</v>
          </cell>
        </row>
        <row r="93">
          <cell r="C93" t="str">
            <v>SP-PY6.3</v>
          </cell>
          <cell r="D93" t="str">
            <v>Creación y puesta en funcionamiento del Instituto de Estudios Surcolombianos.</v>
          </cell>
          <cell r="E93">
            <v>520</v>
          </cell>
        </row>
        <row r="94">
          <cell r="C94" t="str">
            <v>SP-PY6.4</v>
          </cell>
          <cell r="D94" t="str">
            <v>Apoyo a la gestión de proyectos de agenda social.</v>
          </cell>
          <cell r="E94">
            <v>520</v>
          </cell>
        </row>
        <row r="95">
          <cell r="C95" t="str">
            <v>SP-PY7.1</v>
          </cell>
          <cell r="D95" t="str">
            <v>Apoyo a los procesos de integración de la Educación Superior con la Educación Media, el trabajo y el desarrollo humano.</v>
          </cell>
          <cell r="E95">
            <v>520</v>
          </cell>
        </row>
        <row r="96">
          <cell r="C96" t="str">
            <v>SP-PY7.2</v>
          </cell>
          <cell r="D96" t="str">
            <v>Programas de formación para el trabajo y el desarrollo humano con procesos de interacción de la Educación Superior con la Educación Media.</v>
          </cell>
          <cell r="E96">
            <v>520</v>
          </cell>
        </row>
        <row r="97">
          <cell r="C97" t="str">
            <v>SP-PY8.1</v>
          </cell>
          <cell r="D97" t="str">
            <v>Elaboracion y puesta en marcha del  Plan estratégico de comunicaciones.</v>
          </cell>
          <cell r="E97">
            <v>520</v>
          </cell>
        </row>
        <row r="98">
          <cell r="C98" t="str">
            <v>SP-PY8.2</v>
          </cell>
          <cell r="D98" t="str">
            <v>Renovación Hosting y  elaboración de revista para comunicaciones y divulgación de actividades resultado de proyección social.</v>
          </cell>
          <cell r="E98">
            <v>520</v>
          </cell>
        </row>
        <row r="99">
          <cell r="C99" t="str">
            <v>SP-PY8.3</v>
          </cell>
          <cell r="D99" t="str">
            <v>Fortalecimiento de medios audiovisuales institucionales.</v>
          </cell>
          <cell r="E99">
            <v>520</v>
          </cell>
        </row>
        <row r="100">
          <cell r="C100" t="str">
            <v>SP-PY8.4</v>
          </cell>
          <cell r="D100" t="str">
            <v>Elaboración de prospectos, revistas e instructivos-publicidad.</v>
          </cell>
          <cell r="E100">
            <v>520</v>
          </cell>
        </row>
        <row r="101">
          <cell r="W101">
            <v>2432390317</v>
          </cell>
          <cell r="X101">
            <v>1497180182</v>
          </cell>
          <cell r="Y101">
            <v>935210135</v>
          </cell>
        </row>
      </sheetData>
      <sheetData sheetId="7" refreshError="1"/>
      <sheetData sheetId="8" refreshError="1"/>
      <sheetData sheetId="9" refreshError="1"/>
      <sheetData sheetId="10" refreshError="1"/>
      <sheetData sheetId="11" refreshError="1"/>
      <sheetData sheetId="12" refreshError="1"/>
      <sheetData sheetId="13">
        <row r="83">
          <cell r="A83" t="str">
            <v>SP-PY5.1</v>
          </cell>
          <cell r="B83" t="str">
            <v>Proyectos Universidad-Empresa-Estado-Sociedad, financiados y cofinanciados por la Universidad Surcolombiana.</v>
          </cell>
          <cell r="C83">
            <v>520</v>
          </cell>
        </row>
        <row r="84">
          <cell r="A84" t="str">
            <v>SP-PY5.2</v>
          </cell>
          <cell r="B84" t="str">
            <v>Apoyo a la cofinanciación de proyectos de la Alianza Universidad-Empresa-Estado-Sociedad.</v>
          </cell>
          <cell r="C84">
            <v>520</v>
          </cell>
        </row>
        <row r="85">
          <cell r="A85" t="str">
            <v>SP-PY5.3</v>
          </cell>
          <cell r="B85" t="str">
            <v>Estrategia de integración al postconflicto desde la salud regional.</v>
          </cell>
          <cell r="C85">
            <v>520</v>
          </cell>
        </row>
        <row r="87">
          <cell r="K87">
            <v>0</v>
          </cell>
        </row>
        <row r="88">
          <cell r="K88">
            <v>0</v>
          </cell>
        </row>
        <row r="89">
          <cell r="K89">
            <v>0</v>
          </cell>
        </row>
      </sheetData>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cala"/>
      <sheetName val="S. FORMACION"/>
      <sheetName val="S. PROY. SOCIAL "/>
      <sheetName val="S. INVESTIGACIÓN"/>
      <sheetName val="S. BIENESTAR"/>
      <sheetName val="S. ADMINISTRATIVO"/>
      <sheetName val="SEGUIMIENTO"/>
      <sheetName val="Ejecución $"/>
      <sheetName val="ADMINISTRATIVO"/>
      <sheetName val="BIENESTAR"/>
      <sheetName val="PROPYECCION SOCIAL"/>
      <sheetName val="INVESTIGACIÓN"/>
      <sheetName val="FORMACIÓN"/>
      <sheetName val="Asignación"/>
      <sheetName val="Plan desarroollo"/>
      <sheetName val="Hoja1"/>
    </sheetNames>
    <sheetDataSet>
      <sheetData sheetId="0" refreshError="1"/>
      <sheetData sheetId="1" refreshError="1"/>
      <sheetData sheetId="2" refreshError="1"/>
      <sheetData sheetId="3" refreshError="1"/>
      <sheetData sheetId="4">
        <row r="31">
          <cell r="I31">
            <v>2912307794</v>
          </cell>
          <cell r="J31">
            <v>1989545885</v>
          </cell>
          <cell r="K31">
            <v>922761909</v>
          </cell>
        </row>
      </sheetData>
      <sheetData sheetId="5" refreshError="1"/>
      <sheetData sheetId="6">
        <row r="102">
          <cell r="C102" t="str">
            <v>SB-PY1.1</v>
          </cell>
          <cell r="D102" t="str">
            <v>Prestación servicio médico a estudiantes en las Sedes</v>
          </cell>
          <cell r="E102">
            <v>301</v>
          </cell>
          <cell r="I102">
            <v>95000000</v>
          </cell>
        </row>
        <row r="103">
          <cell r="C103" t="str">
            <v>SB-PY1.2</v>
          </cell>
          <cell r="D103" t="str">
            <v>Prestación servicio odontólogico a estudiantes en las Sedes</v>
          </cell>
          <cell r="E103">
            <v>301</v>
          </cell>
          <cell r="I103">
            <v>70000000</v>
          </cell>
        </row>
        <row r="104">
          <cell r="C104" t="str">
            <v>SB-PY1.3</v>
          </cell>
          <cell r="D104" t="str">
            <v>Prestación servicio Psicológico a estudiantes en las Sedes</v>
          </cell>
          <cell r="E104">
            <v>301</v>
          </cell>
          <cell r="I104">
            <v>45000000</v>
          </cell>
        </row>
        <row r="105">
          <cell r="C105" t="str">
            <v>SB-PY1.4</v>
          </cell>
          <cell r="D105" t="str">
            <v>Apoyo a actividades de clima organizacional, docentes, estudiantes y administrativos en las Sedes.</v>
          </cell>
          <cell r="E105">
            <v>301</v>
          </cell>
          <cell r="I105">
            <v>2000000</v>
          </cell>
        </row>
        <row r="106">
          <cell r="C106" t="str">
            <v>SB-PY1.5</v>
          </cell>
          <cell r="D106" t="str">
            <v>Atención apersonas en drogadicción, prostitución y E.T.V.  en las Sedes.</v>
          </cell>
          <cell r="E106">
            <v>301</v>
          </cell>
          <cell r="I106">
            <v>35000000</v>
          </cell>
        </row>
        <row r="107">
          <cell r="C107" t="str">
            <v>SB-PY1.6</v>
          </cell>
          <cell r="D107" t="str">
            <v>USCO saludable.</v>
          </cell>
          <cell r="E107">
            <v>301</v>
          </cell>
          <cell r="I107">
            <v>140000000</v>
          </cell>
        </row>
        <row r="108">
          <cell r="C108" t="str">
            <v>SB-PY1.7</v>
          </cell>
          <cell r="D108" t="str">
            <v>Proyecto de Inclusión y atención de la población con diversidad funcional en la USCO.</v>
          </cell>
          <cell r="E108">
            <v>301</v>
          </cell>
          <cell r="I108">
            <v>29955000</v>
          </cell>
        </row>
        <row r="109">
          <cell r="C109" t="str">
            <v>SB-PY1.8</v>
          </cell>
          <cell r="D109" t="str">
            <v>Proyecto de Inclusión y atención de la población con diversidad funcional en la USCO.</v>
          </cell>
          <cell r="E109">
            <v>301</v>
          </cell>
          <cell r="I109">
            <v>0</v>
          </cell>
        </row>
        <row r="110">
          <cell r="C110" t="str">
            <v>SB-PY2.1</v>
          </cell>
          <cell r="D110" t="str">
            <v>Actividades deportivas de todas las Sedes.</v>
          </cell>
          <cell r="E110">
            <v>301</v>
          </cell>
          <cell r="I110">
            <v>415000000</v>
          </cell>
        </row>
        <row r="112">
          <cell r="C112" t="str">
            <v>SB-PY3.1</v>
          </cell>
          <cell r="I112">
            <v>408450000</v>
          </cell>
        </row>
        <row r="115">
          <cell r="D115" t="str">
            <v xml:space="preserve"> Apoyo a actividades de clima organizacional, docentes, estudiantes y administrativos en las Sedes</v>
          </cell>
          <cell r="E115">
            <v>301</v>
          </cell>
          <cell r="I115">
            <v>76465225</v>
          </cell>
        </row>
        <row r="116">
          <cell r="D116" t="str">
            <v>Eventos convivencia, integración y reconocimiento</v>
          </cell>
        </row>
        <row r="117">
          <cell r="C117" t="str">
            <v>SB-PY5.1</v>
          </cell>
          <cell r="D117" t="str">
            <v>Prestación de servicio de restaurante a los estudiantes en las Sedes.</v>
          </cell>
          <cell r="I117">
            <v>1431437569</v>
          </cell>
        </row>
        <row r="118">
          <cell r="D118" t="str">
            <v>Meriendas Pitalito</v>
          </cell>
        </row>
        <row r="119">
          <cell r="D119" t="str">
            <v>Meriendas Garzón</v>
          </cell>
        </row>
        <row r="120">
          <cell r="D120" t="str">
            <v>Meriendas La Plata</v>
          </cell>
        </row>
        <row r="121">
          <cell r="C121" t="str">
            <v>SB-PY5.2</v>
          </cell>
          <cell r="D121" t="str">
            <v>Atención a población estudiantil en situación de extrema vulnerabilidad en las Sedes.</v>
          </cell>
          <cell r="E121">
            <v>301</v>
          </cell>
          <cell r="I121">
            <v>30000000</v>
          </cell>
        </row>
        <row r="122">
          <cell r="C122" t="str">
            <v>SB-PY5.3</v>
          </cell>
          <cell r="D122" t="str">
            <v>Vinculación de estudiantes en procesos institucionales.</v>
          </cell>
          <cell r="E122">
            <v>301</v>
          </cell>
          <cell r="I122">
            <v>84000000</v>
          </cell>
        </row>
        <row r="123">
          <cell r="E123">
            <v>301</v>
          </cell>
          <cell r="I123">
            <v>50000000</v>
          </cell>
        </row>
        <row r="124">
          <cell r="I124">
            <v>2912307794</v>
          </cell>
          <cell r="W124">
            <v>3060839833</v>
          </cell>
          <cell r="X124">
            <v>1515071504</v>
          </cell>
          <cell r="Y124">
            <v>1545768329</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cala"/>
      <sheetName val="S. FORMACION"/>
      <sheetName val="S. PROY. SOCIAL "/>
      <sheetName val="S. INVESTIGACIÓN"/>
      <sheetName val="S. BIENESTAR"/>
      <sheetName val="S. ADMINISTRATIVO"/>
      <sheetName val="SEGUIMIENTO"/>
      <sheetName val="Ejecución $"/>
      <sheetName val="ADMINISTRATIVO"/>
      <sheetName val="BIENESTAR"/>
      <sheetName val="PROPYECCION SOCIAL"/>
      <sheetName val="INVESTIGACIÓN"/>
      <sheetName val="FORMACIÓN"/>
      <sheetName val="Asignación"/>
      <sheetName val="Plan desarroollo"/>
      <sheetName val="Hoja1"/>
    </sheetNames>
    <sheetDataSet>
      <sheetData sheetId="0"/>
      <sheetData sheetId="1"/>
      <sheetData sheetId="2"/>
      <sheetData sheetId="3"/>
      <sheetData sheetId="4"/>
      <sheetData sheetId="5"/>
      <sheetData sheetId="6">
        <row r="125">
          <cell r="C125" t="str">
            <v>SA-PY 1.1</v>
          </cell>
          <cell r="E125">
            <v>510</v>
          </cell>
        </row>
        <row r="126">
          <cell r="C126" t="str">
            <v>SA-PY1.2</v>
          </cell>
          <cell r="D126" t="str">
            <v>Realización de dos eventos para la socialización del Proyecto de actualización del Manual de Convivencia Estudiantíl. Proceso Acreditación.</v>
          </cell>
          <cell r="E126">
            <v>510</v>
          </cell>
        </row>
        <row r="127">
          <cell r="C127" t="str">
            <v>SA-PY1.3</v>
          </cell>
          <cell r="D127" t="str">
            <v>Realización de dos eventos para la socialización del Proyecto del Estatuto Docente. Proceso Acreditación.</v>
          </cell>
          <cell r="E127">
            <v>510</v>
          </cell>
        </row>
        <row r="128">
          <cell r="C128" t="str">
            <v>SA-PY2a.1</v>
          </cell>
          <cell r="D128" t="str">
            <v>Construcción de infraestructura física en todas las Sedes.</v>
          </cell>
          <cell r="E128">
            <v>111</v>
          </cell>
        </row>
        <row r="129">
          <cell r="C129" t="str">
            <v>SA-PY2a.2</v>
          </cell>
          <cell r="D129" t="str">
            <v>Adecuaciones, mantenimientos y mejoras en infraestructura de todas las sedes.</v>
          </cell>
          <cell r="E129">
            <v>111</v>
          </cell>
        </row>
        <row r="130">
          <cell r="C130" t="str">
            <v>SA-PY2a.3</v>
          </cell>
          <cell r="D130" t="str">
            <v>Avalúos, estudios y diseños de obras civiles varias.</v>
          </cell>
          <cell r="E130">
            <v>111</v>
          </cell>
          <cell r="I130">
            <v>0</v>
          </cell>
        </row>
        <row r="131">
          <cell r="C131" t="str">
            <v>SA-PY2b.1</v>
          </cell>
          <cell r="D131" t="str">
            <v>Dotación de equipos, accesorios, reactivos e insumos para  laboratorios de todas las Sedes.</v>
          </cell>
          <cell r="E131">
            <v>211</v>
          </cell>
        </row>
        <row r="132">
          <cell r="C132" t="str">
            <v>SA-PY2b.2</v>
          </cell>
          <cell r="D132" t="str">
            <v>Dotación de muebles y equipos de oficinas para todas las Sedes.</v>
          </cell>
          <cell r="E132">
            <v>211</v>
          </cell>
        </row>
        <row r="133">
          <cell r="C133" t="str">
            <v>SA-PY2b.3</v>
          </cell>
          <cell r="D133" t="str">
            <v>Adquisición bibliografía.</v>
          </cell>
          <cell r="E133">
            <v>211</v>
          </cell>
        </row>
        <row r="134">
          <cell r="C134" t="str">
            <v>SA-PY2b.4</v>
          </cell>
          <cell r="D134" t="str">
            <v xml:space="preserve"> Mantenimiento de Equipos de Laboratorio,  Muebles, accesorios y equipos de Oficina de todas las sedes.</v>
          </cell>
          <cell r="E134">
            <v>211</v>
          </cell>
        </row>
        <row r="135">
          <cell r="C135" t="str">
            <v>SA-PY2b.5</v>
          </cell>
          <cell r="D135" t="str">
            <v>Dotación de elementos de aseo y cafetería.</v>
          </cell>
          <cell r="E135">
            <v>211</v>
          </cell>
        </row>
        <row r="136">
          <cell r="C136" t="str">
            <v>SA-PY2b.6</v>
          </cell>
          <cell r="D136" t="str">
            <v>Dotación, renovación de Software y licencias.</v>
          </cell>
          <cell r="E136">
            <v>211</v>
          </cell>
        </row>
        <row r="137">
          <cell r="C137" t="str">
            <v>SA-PY2b.7</v>
          </cell>
          <cell r="D137" t="str">
            <v>Contratación personal para mantenimiento CTIC.</v>
          </cell>
          <cell r="E137">
            <v>211</v>
          </cell>
        </row>
        <row r="138">
          <cell r="C138" t="str">
            <v>SA-PY2c.1</v>
          </cell>
          <cell r="D138" t="str">
            <v xml:space="preserve">Implementación  plataforma LCMS en la Usco para aumentar la tasa de cobertura bruta en la educación superior en el Departamento del Huila”, </v>
          </cell>
          <cell r="E138" t="str">
            <v>520-2</v>
          </cell>
        </row>
        <row r="139">
          <cell r="C139" t="str">
            <v>SA-PY3.1</v>
          </cell>
          <cell r="D139" t="str">
            <v>Desarrollo de las actividades Gestión Ambiental y  vinculación personal del Proyecto.</v>
          </cell>
          <cell r="E139">
            <v>510</v>
          </cell>
        </row>
        <row r="140">
          <cell r="C140" t="str">
            <v>SA-PY3.2</v>
          </cell>
          <cell r="D140" t="str">
            <v>Actualización y desarrollo del Sistema de Gestión de Calidad con el Plan de Desarrollo y vinculación personal del Proyecto.</v>
          </cell>
          <cell r="E140">
            <v>510</v>
          </cell>
        </row>
        <row r="141">
          <cell r="C141" t="str">
            <v>SA-PY3.3</v>
          </cell>
          <cell r="D141" t="str">
            <v>Afiliación y Auditoría de seguimiento de la Certificación ISO 9001:2008 NTCGP 1000:2009.</v>
          </cell>
          <cell r="E141">
            <v>510</v>
          </cell>
        </row>
        <row r="142">
          <cell r="C142" t="str">
            <v>SA-PY3.4</v>
          </cell>
          <cell r="D142" t="str">
            <v xml:space="preserve"> Gestión de la estructura academico-administrativa y financiera.</v>
          </cell>
          <cell r="E142">
            <v>510</v>
          </cell>
        </row>
        <row r="143">
          <cell r="C143" t="str">
            <v>SA-PY5.1</v>
          </cell>
          <cell r="D143" t="str">
            <v>Elaboración de estudio de factibilidad ténico-financiero de la modernización académico administrativa.</v>
          </cell>
          <cell r="E143">
            <v>510</v>
          </cell>
          <cell r="I143">
            <v>50000000</v>
          </cell>
        </row>
        <row r="144">
          <cell r="C144" t="str">
            <v>SA-PY7.1</v>
          </cell>
          <cell r="D144" t="str">
            <v>Ejecución Plan de Capacitación para el personal Administrativo y de Trabajadores Oficiales.</v>
          </cell>
          <cell r="E144">
            <v>310</v>
          </cell>
        </row>
        <row r="145">
          <cell r="W145">
            <v>6919243628</v>
          </cell>
          <cell r="X145">
            <v>2967703189</v>
          </cell>
          <cell r="Y145">
            <v>3951540439</v>
          </cell>
        </row>
      </sheetData>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D63"/>
  <sheetViews>
    <sheetView topLeftCell="A32" workbookViewId="0">
      <selection activeCell="C34" sqref="C34:C36"/>
    </sheetView>
  </sheetViews>
  <sheetFormatPr baseColWidth="10" defaultRowHeight="15" x14ac:dyDescent="0.25"/>
  <cols>
    <col min="2" max="2" width="14.28515625" customWidth="1"/>
    <col min="3" max="3" width="21" customWidth="1"/>
    <col min="4" max="4" width="18.28515625" customWidth="1"/>
  </cols>
  <sheetData>
    <row r="4" spans="1:4" ht="15.75" x14ac:dyDescent="0.25">
      <c r="A4" s="472">
        <v>1</v>
      </c>
      <c r="B4" s="115" t="s">
        <v>501</v>
      </c>
      <c r="C4" s="115" t="s">
        <v>502</v>
      </c>
      <c r="D4" s="115" t="s">
        <v>503</v>
      </c>
    </row>
    <row r="5" spans="1:4" x14ac:dyDescent="0.25">
      <c r="A5" s="472"/>
      <c r="B5" s="465"/>
      <c r="C5" s="469" t="s">
        <v>504</v>
      </c>
      <c r="D5" s="462" t="s">
        <v>505</v>
      </c>
    </row>
    <row r="6" spans="1:4" x14ac:dyDescent="0.25">
      <c r="A6" s="472"/>
      <c r="B6" s="466"/>
      <c r="C6" s="469"/>
      <c r="D6" s="463"/>
    </row>
    <row r="7" spans="1:4" x14ac:dyDescent="0.25">
      <c r="A7" s="472"/>
      <c r="B7" s="467"/>
      <c r="C7" s="469"/>
      <c r="D7" s="464"/>
    </row>
    <row r="8" spans="1:4" x14ac:dyDescent="0.25">
      <c r="A8" s="472"/>
      <c r="B8" s="465"/>
      <c r="C8" s="468" t="s">
        <v>506</v>
      </c>
      <c r="D8" s="462" t="s">
        <v>507</v>
      </c>
    </row>
    <row r="9" spans="1:4" x14ac:dyDescent="0.25">
      <c r="A9" s="472"/>
      <c r="B9" s="466"/>
      <c r="C9" s="468"/>
      <c r="D9" s="463"/>
    </row>
    <row r="10" spans="1:4" x14ac:dyDescent="0.25">
      <c r="A10" s="472"/>
      <c r="B10" s="467"/>
      <c r="C10" s="468"/>
      <c r="D10" s="464"/>
    </row>
    <row r="11" spans="1:4" ht="21.75" customHeight="1" x14ac:dyDescent="0.25">
      <c r="A11" s="472"/>
      <c r="B11" s="465"/>
      <c r="C11" s="462" t="s">
        <v>508</v>
      </c>
      <c r="D11" s="462" t="s">
        <v>509</v>
      </c>
    </row>
    <row r="12" spans="1:4" ht="21.75" customHeight="1" x14ac:dyDescent="0.25">
      <c r="A12" s="472"/>
      <c r="B12" s="466"/>
      <c r="C12" s="463"/>
      <c r="D12" s="463"/>
    </row>
    <row r="13" spans="1:4" ht="21.75" customHeight="1" x14ac:dyDescent="0.25">
      <c r="A13" s="472"/>
      <c r="B13" s="467"/>
      <c r="C13" s="464"/>
      <c r="D13" s="464"/>
    </row>
    <row r="14" spans="1:4" ht="21" customHeight="1" x14ac:dyDescent="0.25">
      <c r="A14" s="472"/>
      <c r="B14" s="465"/>
      <c r="C14" s="468" t="s">
        <v>510</v>
      </c>
      <c r="D14" s="462" t="s">
        <v>511</v>
      </c>
    </row>
    <row r="15" spans="1:4" ht="21" customHeight="1" x14ac:dyDescent="0.25">
      <c r="A15" s="472"/>
      <c r="B15" s="466"/>
      <c r="C15" s="468"/>
      <c r="D15" s="463"/>
    </row>
    <row r="16" spans="1:4" ht="21" customHeight="1" x14ac:dyDescent="0.25">
      <c r="A16" s="472"/>
      <c r="B16" s="467"/>
      <c r="C16" s="468"/>
      <c r="D16" s="464"/>
    </row>
    <row r="18" spans="1:4" ht="15.75" x14ac:dyDescent="0.25">
      <c r="A18" s="473">
        <v>2</v>
      </c>
      <c r="B18" s="115" t="s">
        <v>501</v>
      </c>
      <c r="C18" s="115" t="s">
        <v>502</v>
      </c>
      <c r="D18" s="115" t="s">
        <v>503</v>
      </c>
    </row>
    <row r="19" spans="1:4" x14ac:dyDescent="0.25">
      <c r="A19" s="473"/>
      <c r="B19" s="465"/>
      <c r="C19" s="469" t="s">
        <v>690</v>
      </c>
      <c r="D19" s="462" t="s">
        <v>505</v>
      </c>
    </row>
    <row r="20" spans="1:4" x14ac:dyDescent="0.25">
      <c r="A20" s="473"/>
      <c r="B20" s="466"/>
      <c r="C20" s="469"/>
      <c r="D20" s="463"/>
    </row>
    <row r="21" spans="1:4" x14ac:dyDescent="0.25">
      <c r="A21" s="473"/>
      <c r="B21" s="467"/>
      <c r="C21" s="469"/>
      <c r="D21" s="464"/>
    </row>
    <row r="22" spans="1:4" x14ac:dyDescent="0.25">
      <c r="A22" s="473"/>
      <c r="B22" s="465"/>
      <c r="C22" s="468" t="s">
        <v>691</v>
      </c>
      <c r="D22" s="462" t="s">
        <v>507</v>
      </c>
    </row>
    <row r="23" spans="1:4" x14ac:dyDescent="0.25">
      <c r="A23" s="473"/>
      <c r="B23" s="466"/>
      <c r="C23" s="468"/>
      <c r="D23" s="463"/>
    </row>
    <row r="24" spans="1:4" x14ac:dyDescent="0.25">
      <c r="A24" s="473"/>
      <c r="B24" s="467"/>
      <c r="C24" s="468"/>
      <c r="D24" s="464"/>
    </row>
    <row r="25" spans="1:4" x14ac:dyDescent="0.25">
      <c r="A25" s="473"/>
      <c r="B25" s="465"/>
      <c r="C25" s="462" t="s">
        <v>692</v>
      </c>
      <c r="D25" s="462" t="s">
        <v>509</v>
      </c>
    </row>
    <row r="26" spans="1:4" x14ac:dyDescent="0.25">
      <c r="A26" s="473"/>
      <c r="B26" s="466"/>
      <c r="C26" s="463"/>
      <c r="D26" s="463"/>
    </row>
    <row r="27" spans="1:4" x14ac:dyDescent="0.25">
      <c r="A27" s="473"/>
      <c r="B27" s="467"/>
      <c r="C27" s="464"/>
      <c r="D27" s="464"/>
    </row>
    <row r="28" spans="1:4" x14ac:dyDescent="0.25">
      <c r="A28" s="473"/>
      <c r="B28" s="465"/>
      <c r="C28" s="468" t="s">
        <v>693</v>
      </c>
      <c r="D28" s="462" t="s">
        <v>511</v>
      </c>
    </row>
    <row r="29" spans="1:4" x14ac:dyDescent="0.25">
      <c r="A29" s="473"/>
      <c r="B29" s="466"/>
      <c r="C29" s="468"/>
      <c r="D29" s="463"/>
    </row>
    <row r="30" spans="1:4" x14ac:dyDescent="0.25">
      <c r="A30" s="473"/>
      <c r="B30" s="467"/>
      <c r="C30" s="468"/>
      <c r="D30" s="464"/>
    </row>
    <row r="31" spans="1:4" x14ac:dyDescent="0.25">
      <c r="A31" s="473"/>
    </row>
    <row r="33" spans="1:4" ht="15.75" x14ac:dyDescent="0.25">
      <c r="A33" s="474">
        <v>3</v>
      </c>
      <c r="B33" s="115" t="s">
        <v>501</v>
      </c>
      <c r="C33" s="115" t="s">
        <v>502</v>
      </c>
      <c r="D33" s="115" t="s">
        <v>503</v>
      </c>
    </row>
    <row r="34" spans="1:4" x14ac:dyDescent="0.25">
      <c r="A34" s="474"/>
      <c r="B34" s="465"/>
      <c r="C34" s="470" t="s">
        <v>694</v>
      </c>
      <c r="D34" s="462" t="s">
        <v>505</v>
      </c>
    </row>
    <row r="35" spans="1:4" x14ac:dyDescent="0.25">
      <c r="A35" s="474"/>
      <c r="B35" s="466"/>
      <c r="C35" s="470"/>
      <c r="D35" s="463"/>
    </row>
    <row r="36" spans="1:4" x14ac:dyDescent="0.25">
      <c r="A36" s="474"/>
      <c r="B36" s="467"/>
      <c r="C36" s="470"/>
      <c r="D36" s="464"/>
    </row>
    <row r="37" spans="1:4" x14ac:dyDescent="0.25">
      <c r="A37" s="474"/>
      <c r="B37" s="465"/>
      <c r="C37" s="471" t="s">
        <v>695</v>
      </c>
      <c r="D37" s="462" t="s">
        <v>507</v>
      </c>
    </row>
    <row r="38" spans="1:4" x14ac:dyDescent="0.25">
      <c r="A38" s="474"/>
      <c r="B38" s="466"/>
      <c r="C38" s="471"/>
      <c r="D38" s="463"/>
    </row>
    <row r="39" spans="1:4" x14ac:dyDescent="0.25">
      <c r="A39" s="474"/>
      <c r="B39" s="467"/>
      <c r="C39" s="471"/>
      <c r="D39" s="464"/>
    </row>
    <row r="40" spans="1:4" x14ac:dyDescent="0.25">
      <c r="A40" s="474"/>
      <c r="B40" s="465"/>
      <c r="C40" s="471" t="s">
        <v>696</v>
      </c>
      <c r="D40" s="462" t="s">
        <v>509</v>
      </c>
    </row>
    <row r="41" spans="1:4" x14ac:dyDescent="0.25">
      <c r="A41" s="474"/>
      <c r="B41" s="466"/>
      <c r="C41" s="471"/>
      <c r="D41" s="463"/>
    </row>
    <row r="42" spans="1:4" x14ac:dyDescent="0.25">
      <c r="A42" s="474"/>
      <c r="B42" s="467"/>
      <c r="C42" s="471"/>
      <c r="D42" s="464"/>
    </row>
    <row r="43" spans="1:4" x14ac:dyDescent="0.25">
      <c r="A43" s="474"/>
      <c r="B43" s="465"/>
      <c r="C43" s="471" t="s">
        <v>697</v>
      </c>
      <c r="D43" s="462" t="s">
        <v>511</v>
      </c>
    </row>
    <row r="44" spans="1:4" x14ac:dyDescent="0.25">
      <c r="A44" s="474"/>
      <c r="B44" s="466"/>
      <c r="C44" s="471"/>
      <c r="D44" s="463"/>
    </row>
    <row r="45" spans="1:4" x14ac:dyDescent="0.25">
      <c r="A45" s="474"/>
      <c r="B45" s="467"/>
      <c r="C45" s="471"/>
      <c r="D45" s="464"/>
    </row>
    <row r="48" spans="1:4" x14ac:dyDescent="0.25">
      <c r="A48" s="474">
        <v>4</v>
      </c>
      <c r="B48" s="188" t="s">
        <v>501</v>
      </c>
      <c r="C48" s="188" t="s">
        <v>502</v>
      </c>
      <c r="D48" s="188" t="s">
        <v>503</v>
      </c>
    </row>
    <row r="49" spans="1:4" x14ac:dyDescent="0.25">
      <c r="A49" s="474"/>
      <c r="B49" s="470"/>
      <c r="C49" s="470" t="s">
        <v>698</v>
      </c>
      <c r="D49" s="471" t="s">
        <v>505</v>
      </c>
    </row>
    <row r="50" spans="1:4" x14ac:dyDescent="0.25">
      <c r="A50" s="474"/>
      <c r="B50" s="470"/>
      <c r="C50" s="470"/>
      <c r="D50" s="471"/>
    </row>
    <row r="51" spans="1:4" x14ac:dyDescent="0.25">
      <c r="A51" s="474"/>
      <c r="B51" s="470"/>
      <c r="C51" s="470"/>
      <c r="D51" s="471"/>
    </row>
    <row r="52" spans="1:4" ht="18.75" customHeight="1" x14ac:dyDescent="0.25">
      <c r="A52" s="474"/>
      <c r="B52" s="470"/>
      <c r="C52" s="471" t="s">
        <v>699</v>
      </c>
      <c r="D52" s="471" t="s">
        <v>507</v>
      </c>
    </row>
    <row r="53" spans="1:4" ht="18.75" customHeight="1" x14ac:dyDescent="0.25">
      <c r="A53" s="474"/>
      <c r="B53" s="470"/>
      <c r="C53" s="471"/>
      <c r="D53" s="471"/>
    </row>
    <row r="54" spans="1:4" ht="18.75" customHeight="1" x14ac:dyDescent="0.25">
      <c r="A54" s="474"/>
      <c r="B54" s="470"/>
      <c r="C54" s="471"/>
      <c r="D54" s="471"/>
    </row>
    <row r="55" spans="1:4" ht="17.25" customHeight="1" x14ac:dyDescent="0.25">
      <c r="A55" s="474"/>
      <c r="B55" s="470"/>
      <c r="C55" s="471" t="s">
        <v>700</v>
      </c>
      <c r="D55" s="471" t="s">
        <v>509</v>
      </c>
    </row>
    <row r="56" spans="1:4" ht="17.25" customHeight="1" x14ac:dyDescent="0.25">
      <c r="A56" s="474"/>
      <c r="B56" s="470"/>
      <c r="C56" s="471"/>
      <c r="D56" s="471"/>
    </row>
    <row r="57" spans="1:4" ht="17.25" customHeight="1" x14ac:dyDescent="0.25">
      <c r="A57" s="474"/>
      <c r="B57" s="470"/>
      <c r="C57" s="471"/>
      <c r="D57" s="471"/>
    </row>
    <row r="58" spans="1:4" ht="17.25" customHeight="1" x14ac:dyDescent="0.25">
      <c r="A58" s="474"/>
      <c r="B58" s="470"/>
      <c r="C58" s="471" t="s">
        <v>701</v>
      </c>
      <c r="D58" s="471" t="s">
        <v>511</v>
      </c>
    </row>
    <row r="59" spans="1:4" ht="17.25" customHeight="1" x14ac:dyDescent="0.25">
      <c r="A59" s="474"/>
      <c r="B59" s="470"/>
      <c r="C59" s="471"/>
      <c r="D59" s="471"/>
    </row>
    <row r="60" spans="1:4" ht="17.25" customHeight="1" x14ac:dyDescent="0.25">
      <c r="A60" s="474"/>
      <c r="B60" s="470"/>
      <c r="C60" s="471"/>
      <c r="D60" s="471"/>
    </row>
    <row r="61" spans="1:4" ht="18.75" customHeight="1" x14ac:dyDescent="0.25">
      <c r="A61" s="474"/>
      <c r="B61" s="470"/>
      <c r="C61" s="470" t="s">
        <v>702</v>
      </c>
      <c r="D61" s="471" t="s">
        <v>703</v>
      </c>
    </row>
    <row r="62" spans="1:4" ht="18.75" customHeight="1" x14ac:dyDescent="0.25">
      <c r="A62" s="474"/>
      <c r="B62" s="470"/>
      <c r="C62" s="470"/>
      <c r="D62" s="471"/>
    </row>
    <row r="63" spans="1:4" ht="18.75" customHeight="1" x14ac:dyDescent="0.25">
      <c r="A63" s="474"/>
      <c r="B63" s="470"/>
      <c r="C63" s="470"/>
      <c r="D63" s="471"/>
    </row>
  </sheetData>
  <mergeCells count="55">
    <mergeCell ref="A4:A16"/>
    <mergeCell ref="A18:A31"/>
    <mergeCell ref="A33:A45"/>
    <mergeCell ref="A48:A63"/>
    <mergeCell ref="B61:B63"/>
    <mergeCell ref="B49:B51"/>
    <mergeCell ref="B40:B42"/>
    <mergeCell ref="B34:B36"/>
    <mergeCell ref="B25:B27"/>
    <mergeCell ref="B19:B21"/>
    <mergeCell ref="B5:B7"/>
    <mergeCell ref="B11:B13"/>
    <mergeCell ref="C61:C63"/>
    <mergeCell ref="D61:D63"/>
    <mergeCell ref="B55:B57"/>
    <mergeCell ref="C55:C57"/>
    <mergeCell ref="D55:D57"/>
    <mergeCell ref="B58:B60"/>
    <mergeCell ref="C58:C60"/>
    <mergeCell ref="D58:D60"/>
    <mergeCell ref="C49:C51"/>
    <mergeCell ref="D49:D51"/>
    <mergeCell ref="B52:B54"/>
    <mergeCell ref="C52:C54"/>
    <mergeCell ref="D52:D54"/>
    <mergeCell ref="C40:C42"/>
    <mergeCell ref="D40:D42"/>
    <mergeCell ref="B43:B45"/>
    <mergeCell ref="C43:C45"/>
    <mergeCell ref="D43:D45"/>
    <mergeCell ref="C34:C36"/>
    <mergeCell ref="D34:D36"/>
    <mergeCell ref="B37:B39"/>
    <mergeCell ref="C37:C39"/>
    <mergeCell ref="D37:D39"/>
    <mergeCell ref="C25:C27"/>
    <mergeCell ref="D25:D27"/>
    <mergeCell ref="B28:B30"/>
    <mergeCell ref="C28:C30"/>
    <mergeCell ref="D28:D30"/>
    <mergeCell ref="C19:C21"/>
    <mergeCell ref="D19:D21"/>
    <mergeCell ref="B22:B24"/>
    <mergeCell ref="C22:C24"/>
    <mergeCell ref="D22:D24"/>
    <mergeCell ref="C5:C7"/>
    <mergeCell ref="D5:D7"/>
    <mergeCell ref="B8:B10"/>
    <mergeCell ref="C8:C10"/>
    <mergeCell ref="D8:D10"/>
    <mergeCell ref="C11:C13"/>
    <mergeCell ref="D11:D13"/>
    <mergeCell ref="B14:B16"/>
    <mergeCell ref="C14:C16"/>
    <mergeCell ref="D14:D1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T67"/>
  <sheetViews>
    <sheetView topLeftCell="A51" workbookViewId="0">
      <selection activeCell="I54" sqref="I54"/>
    </sheetView>
  </sheetViews>
  <sheetFormatPr baseColWidth="10" defaultRowHeight="15" x14ac:dyDescent="0.25"/>
  <cols>
    <col min="1" max="1" width="33.85546875" customWidth="1"/>
    <col min="2" max="2" width="17.5703125" customWidth="1"/>
    <col min="4" max="4" width="13" customWidth="1"/>
    <col min="8" max="8" width="26.28515625" customWidth="1"/>
    <col min="18" max="18" width="12.7109375" bestFit="1" customWidth="1"/>
    <col min="19" max="19" width="16.28515625" customWidth="1"/>
  </cols>
  <sheetData>
    <row r="6" spans="1:20" ht="19.5" x14ac:dyDescent="0.3">
      <c r="A6" s="633" t="s">
        <v>498</v>
      </c>
      <c r="B6" s="633"/>
      <c r="C6" s="633"/>
      <c r="D6" s="633"/>
      <c r="E6" s="633"/>
      <c r="F6" s="633"/>
    </row>
    <row r="7" spans="1:20" ht="45" x14ac:dyDescent="0.25">
      <c r="A7" s="187" t="s">
        <v>489</v>
      </c>
      <c r="B7" s="189" t="s">
        <v>490</v>
      </c>
      <c r="C7" s="187" t="s">
        <v>491</v>
      </c>
      <c r="D7" s="189" t="s">
        <v>492</v>
      </c>
      <c r="E7" s="189" t="s">
        <v>493</v>
      </c>
      <c r="F7" s="189" t="s">
        <v>494</v>
      </c>
      <c r="I7" s="103"/>
      <c r="J7" s="103"/>
      <c r="K7" s="103"/>
      <c r="L7" s="103" t="s">
        <v>710</v>
      </c>
      <c r="M7" s="103" t="s">
        <v>711</v>
      </c>
      <c r="N7" s="103" t="s">
        <v>712</v>
      </c>
      <c r="O7" s="103" t="s">
        <v>713</v>
      </c>
      <c r="P7" s="103" t="s">
        <v>714</v>
      </c>
      <c r="Q7" s="103"/>
      <c r="R7" s="190" t="s">
        <v>715</v>
      </c>
      <c r="S7" s="190" t="s">
        <v>716</v>
      </c>
      <c r="T7" s="103"/>
    </row>
    <row r="8" spans="1:20" ht="15.75" customHeight="1" x14ac:dyDescent="0.25">
      <c r="A8" s="649" t="str">
        <f>'S. BIENESTAR'!B4</f>
        <v>SB-PY1.   Universidad Saludable.</v>
      </c>
      <c r="B8" s="637">
        <v>0.18</v>
      </c>
      <c r="C8" s="1" t="s">
        <v>283</v>
      </c>
      <c r="D8" s="98">
        <f>'S. BIENESTAR'!AH4</f>
        <v>0.36452830188679247</v>
      </c>
      <c r="E8" s="640">
        <f>B8*Q8</f>
        <v>0.12857142857142856</v>
      </c>
      <c r="F8" s="634">
        <f>T8</f>
        <v>0.6897220092879871</v>
      </c>
      <c r="I8" s="104"/>
      <c r="J8" s="104" t="str">
        <f t="shared" ref="J8:J21" si="0">IF(D8&lt;16%,"Rojo",IF(D8&lt;37%,"Amarillo",IF(D8&lt;50.1%,"Verde","Azul")))</f>
        <v>Amarillo</v>
      </c>
      <c r="K8" s="104" t="s">
        <v>704</v>
      </c>
      <c r="L8" s="104">
        <f>COUNTIF($J$8:$J$14,"Rojo")</f>
        <v>2</v>
      </c>
      <c r="M8" s="104">
        <f>COUNTIF($J$8:$J$14,"Amarillo")</f>
        <v>1</v>
      </c>
      <c r="N8" s="104">
        <f>COUNTIF($J$8:$J$14,"Verde")</f>
        <v>1</v>
      </c>
      <c r="O8" s="104">
        <f>COUNTIF($J$8:$J$14,"Azul")</f>
        <v>3</v>
      </c>
      <c r="P8" s="104">
        <f>SUM(L8:O8)</f>
        <v>7</v>
      </c>
      <c r="Q8" s="192">
        <f t="shared" ref="Q8:Q12" si="1">((100/P8)*SUM(M8:O8)/100)</f>
        <v>0.7142857142857143</v>
      </c>
      <c r="R8" s="191">
        <f>'S. BIENESTAR'!$W$4+'S. BIENESTAR'!$W$5+'S. BIENESTAR'!$W$6+'S. BIENESTAR'!$W$7+'S. BIENESTAR'!$W$8+'S. BIENESTAR'!$W$10+'S. BIENESTAR'!$W$12</f>
        <v>423946754</v>
      </c>
      <c r="S8" s="191">
        <f>'S. BIENESTAR'!$X$4+'S. BIENESTAR'!$X$5+'S. BIENESTAR'!$X$6+'S. BIENESTAR'!$X$7+'S. BIENESTAR'!$X$8+'S. BIENESTAR'!$X$10+'S. BIENESTAR'!$X$12</f>
        <v>292405407</v>
      </c>
      <c r="T8" s="193">
        <f>IFERROR(S8/R8,0)</f>
        <v>0.6897220092879871</v>
      </c>
    </row>
    <row r="9" spans="1:20" x14ac:dyDescent="0.25">
      <c r="A9" s="650"/>
      <c r="B9" s="639"/>
      <c r="C9" s="1" t="s">
        <v>287</v>
      </c>
      <c r="D9" s="287">
        <f>'S. BIENESTAR'!AH5</f>
        <v>0.41049030786773089</v>
      </c>
      <c r="E9" s="641"/>
      <c r="F9" s="635"/>
      <c r="I9" s="104"/>
      <c r="J9" s="104" t="str">
        <f t="shared" si="0"/>
        <v>Verde</v>
      </c>
      <c r="K9" s="104" t="s">
        <v>705</v>
      </c>
      <c r="L9" s="104">
        <f>COUNTIF($J$15:$J$15,"Rojo")</f>
        <v>0</v>
      </c>
      <c r="M9" s="104">
        <f>COUNTIF($J$15:$J$15,"Amarillo")</f>
        <v>0</v>
      </c>
      <c r="N9" s="104">
        <f>COUNTIF($J$15:$J$15,"Verde")</f>
        <v>1</v>
      </c>
      <c r="O9" s="104">
        <f>COUNTIF($J$15:$J$15,"Azul")</f>
        <v>0</v>
      </c>
      <c r="P9" s="104">
        <f t="shared" ref="P9:P13" si="2">SUM(L9:O9)</f>
        <v>1</v>
      </c>
      <c r="Q9" s="192">
        <f t="shared" si="1"/>
        <v>1</v>
      </c>
      <c r="R9" s="191">
        <f>'S. BIENESTAR'!$W$17</f>
        <v>497028160</v>
      </c>
      <c r="S9" s="191">
        <f>'S. BIENESTAR'!$X$17</f>
        <v>209845541</v>
      </c>
      <c r="T9" s="193">
        <f t="shared" ref="T9:T13" si="3">IFERROR(S9/R9,0)</f>
        <v>0.42220050670770848</v>
      </c>
    </row>
    <row r="10" spans="1:20" ht="15.75" customHeight="1" x14ac:dyDescent="0.25">
      <c r="A10" s="650"/>
      <c r="B10" s="639"/>
      <c r="C10" s="1" t="s">
        <v>289</v>
      </c>
      <c r="D10" s="287">
        <f>'S. BIENESTAR'!AH6</f>
        <v>0.56917885264341961</v>
      </c>
      <c r="E10" s="641"/>
      <c r="F10" s="635"/>
      <c r="I10" s="104"/>
      <c r="J10" s="104" t="str">
        <f t="shared" si="0"/>
        <v>Azul</v>
      </c>
      <c r="K10" s="104" t="s">
        <v>706</v>
      </c>
      <c r="L10" s="104">
        <f>COUNTIF($J$16:$J$16,"Rojo")</f>
        <v>0</v>
      </c>
      <c r="M10" s="104">
        <f>COUNTIF($J$16:$J$16,"Amarillo")</f>
        <v>0</v>
      </c>
      <c r="N10" s="104">
        <f>COUNTIF($J$16:$J$16,"Verde")</f>
        <v>0</v>
      </c>
      <c r="O10" s="104">
        <f>COUNTIF($J$16:$J$16,"Azul")</f>
        <v>1</v>
      </c>
      <c r="P10" s="104">
        <f t="shared" si="2"/>
        <v>1</v>
      </c>
      <c r="Q10" s="192">
        <f t="shared" si="1"/>
        <v>1</v>
      </c>
      <c r="R10" s="191">
        <f>'S. BIENESTAR'!$W$19</f>
        <v>416048971</v>
      </c>
      <c r="S10" s="191">
        <f>'S. BIENESTAR'!$X$19</f>
        <v>237727685</v>
      </c>
      <c r="T10" s="193">
        <f t="shared" si="3"/>
        <v>0.57139351751935952</v>
      </c>
    </row>
    <row r="11" spans="1:20" x14ac:dyDescent="0.25">
      <c r="A11" s="650"/>
      <c r="B11" s="639"/>
      <c r="C11" s="1" t="s">
        <v>291</v>
      </c>
      <c r="D11" s="287">
        <f>'S. BIENESTAR'!AH7</f>
        <v>0</v>
      </c>
      <c r="E11" s="641"/>
      <c r="F11" s="635"/>
      <c r="I11" s="104"/>
      <c r="J11" s="104" t="str">
        <f t="shared" si="0"/>
        <v>Rojo</v>
      </c>
      <c r="K11" s="104" t="s">
        <v>707</v>
      </c>
      <c r="L11" s="104">
        <f>COUNTIF($J$17:$J$17,"Rojo")</f>
        <v>0</v>
      </c>
      <c r="M11" s="104">
        <f>COUNTIF($J$17:$J$17,"Amarillo")</f>
        <v>1</v>
      </c>
      <c r="N11" s="104">
        <f>COUNTIF($J$17:$J$17,"Verde")</f>
        <v>0</v>
      </c>
      <c r="O11" s="104">
        <f>COUNTIF($J$17:$J$17,"Azul")</f>
        <v>0</v>
      </c>
      <c r="P11" s="104">
        <f t="shared" si="2"/>
        <v>1</v>
      </c>
      <c r="Q11" s="192">
        <f t="shared" si="1"/>
        <v>1</v>
      </c>
      <c r="R11" s="191">
        <f>'S. BIENESTAR'!$W$22</f>
        <v>125165225</v>
      </c>
      <c r="S11" s="191">
        <f>'S. BIENESTAR'!$X$22</f>
        <v>82611083</v>
      </c>
      <c r="T11" s="193">
        <f t="shared" si="3"/>
        <v>0.66001625451478241</v>
      </c>
    </row>
    <row r="12" spans="1:20" ht="15.75" customHeight="1" x14ac:dyDescent="0.25">
      <c r="A12" s="650"/>
      <c r="B12" s="639"/>
      <c r="C12" s="1" t="s">
        <v>294</v>
      </c>
      <c r="D12" s="287">
        <f>'S. BIENESTAR'!AH8</f>
        <v>0.96</v>
      </c>
      <c r="E12" s="641"/>
      <c r="F12" s="635"/>
      <c r="I12" s="104"/>
      <c r="J12" s="104" t="str">
        <f t="shared" si="0"/>
        <v>Azul</v>
      </c>
      <c r="K12" s="104" t="s">
        <v>708</v>
      </c>
      <c r="L12" s="104">
        <f>COUNTIF($J$18:$J$20,"Rojo")</f>
        <v>1</v>
      </c>
      <c r="M12" s="104">
        <f>COUNTIF($J$18:$J$20,"Amarillo")</f>
        <v>0</v>
      </c>
      <c r="N12" s="104">
        <f>COUNTIF($J$18:$J$20,"Verde")</f>
        <v>1</v>
      </c>
      <c r="O12" s="104">
        <f>COUNTIF($J$18:$J$20,"Azul")</f>
        <v>1</v>
      </c>
      <c r="P12" s="104">
        <f t="shared" si="2"/>
        <v>3</v>
      </c>
      <c r="Q12" s="192">
        <f t="shared" si="1"/>
        <v>0.66666666666666674</v>
      </c>
      <c r="R12" s="191">
        <f>'S. BIENESTAR'!$W$24+'S. BIENESTAR'!$W$25+'S. BIENESTAR'!$W$26+'S. BIENESTAR'!$W$27</f>
        <v>1431437569</v>
      </c>
      <c r="S12" s="191">
        <f>'S. BIENESTAR'!$X$24+'S. BIENESTAR'!$X$25+'S. BIENESTAR'!$X$26+'S. BIENESTAR'!$X$27</f>
        <v>627316480</v>
      </c>
      <c r="T12" s="193">
        <f t="shared" si="3"/>
        <v>0.43824229123610492</v>
      </c>
    </row>
    <row r="13" spans="1:20" ht="15.75" customHeight="1" x14ac:dyDescent="0.25">
      <c r="A13" s="650"/>
      <c r="B13" s="639"/>
      <c r="C13" s="1" t="s">
        <v>296</v>
      </c>
      <c r="D13" s="287">
        <f>'S. BIENESTAR'!AH9</f>
        <v>3.4000000000000002E-2</v>
      </c>
      <c r="E13" s="641"/>
      <c r="F13" s="635"/>
      <c r="I13" s="104"/>
      <c r="J13" s="104" t="str">
        <f t="shared" si="0"/>
        <v>Rojo</v>
      </c>
      <c r="K13" s="104" t="s">
        <v>717</v>
      </c>
      <c r="L13" s="104">
        <f>COUNTIF($J$21:$J$21,"Rojo")</f>
        <v>1</v>
      </c>
      <c r="M13" s="104">
        <f>COUNTIF($J$21:$J$21,"Amarillo")</f>
        <v>0</v>
      </c>
      <c r="N13" s="104">
        <f>COUNTIF($J$21:$J$21,"Verde")</f>
        <v>0</v>
      </c>
      <c r="O13" s="104">
        <f>COUNTIF($J$21:$J$21,"Azul")</f>
        <v>0</v>
      </c>
      <c r="P13" s="104">
        <f t="shared" si="2"/>
        <v>1</v>
      </c>
      <c r="Q13" s="192">
        <v>0.15509999999999999</v>
      </c>
      <c r="R13" s="191">
        <f>'S. BIENESTAR'!$W$30</f>
        <v>50000000</v>
      </c>
      <c r="S13" s="191">
        <f>'S. BIENESTAR'!$X$30</f>
        <v>36096024</v>
      </c>
      <c r="T13" s="193">
        <f t="shared" si="3"/>
        <v>0.72192047999999998</v>
      </c>
    </row>
    <row r="14" spans="1:20" ht="15.75" customHeight="1" x14ac:dyDescent="0.25">
      <c r="A14" s="651"/>
      <c r="B14" s="642"/>
      <c r="C14" s="1" t="s">
        <v>722</v>
      </c>
      <c r="D14" s="287">
        <f>'S. BIENESTAR'!AH10</f>
        <v>0.50666666666666671</v>
      </c>
      <c r="E14" s="643"/>
      <c r="F14" s="636"/>
      <c r="I14" s="104"/>
      <c r="J14" s="104" t="str">
        <f t="shared" si="0"/>
        <v>Azul</v>
      </c>
      <c r="K14" s="104"/>
      <c r="L14" s="104"/>
      <c r="M14" s="104"/>
      <c r="N14" s="104"/>
      <c r="O14" s="104"/>
      <c r="P14" s="104"/>
      <c r="Q14" s="192"/>
      <c r="R14" s="191">
        <f>SUM(R8:R13)</f>
        <v>2943626679</v>
      </c>
      <c r="S14" s="191">
        <f>SUM(S8:S13)</f>
        <v>1486002220</v>
      </c>
      <c r="T14" s="193"/>
    </row>
    <row r="15" spans="1:20" ht="36" customHeight="1" x14ac:dyDescent="0.25">
      <c r="A15" s="119" t="str">
        <f>'S. BIENESTAR'!B17</f>
        <v>SB-PY2.  Recreación y Deportes con responsabilidad y compromiso.</v>
      </c>
      <c r="B15" s="120">
        <v>0.18</v>
      </c>
      <c r="C15" s="1" t="s">
        <v>306</v>
      </c>
      <c r="D15" s="98">
        <f>AVERAGE('S. BIENESTAR'!AH17:AH18)</f>
        <v>0.47222062211981564</v>
      </c>
      <c r="E15" s="207">
        <f>B15*Q9</f>
        <v>0.18</v>
      </c>
      <c r="F15" s="206">
        <f>T9</f>
        <v>0.42220050670770848</v>
      </c>
      <c r="I15" s="104"/>
      <c r="J15" s="104" t="str">
        <f t="shared" si="0"/>
        <v>Verde</v>
      </c>
      <c r="K15" s="104"/>
      <c r="L15" s="104"/>
      <c r="M15" s="104"/>
      <c r="N15" s="104"/>
      <c r="O15" s="104"/>
      <c r="P15" s="104"/>
      <c r="Q15" s="104"/>
      <c r="R15" s="104"/>
      <c r="S15" s="104"/>
      <c r="T15" s="104"/>
    </row>
    <row r="16" spans="1:20" ht="30" x14ac:dyDescent="0.25">
      <c r="A16" s="203" t="str">
        <f>'S. BIENESTAR'!B19</f>
        <v>SB-PY3. Cultura con responsabilidad y compromiso.</v>
      </c>
      <c r="B16" s="121">
        <v>0.18</v>
      </c>
      <c r="C16" s="1" t="s">
        <v>310</v>
      </c>
      <c r="D16" s="200">
        <f>AVERAGE('S. BIENESTAR'!AH19:AH21)</f>
        <v>0.7634132420091323</v>
      </c>
      <c r="E16" s="204">
        <f>B16*Q10</f>
        <v>0.18</v>
      </c>
      <c r="F16" s="194">
        <f>T10</f>
        <v>0.57139351751935952</v>
      </c>
      <c r="I16" s="104"/>
      <c r="J16" s="104" t="str">
        <f t="shared" si="0"/>
        <v>Azul</v>
      </c>
      <c r="K16" s="104"/>
      <c r="L16" s="104"/>
      <c r="M16" s="104"/>
      <c r="N16" s="104"/>
      <c r="O16" s="104"/>
      <c r="P16" s="104"/>
      <c r="Q16" s="104"/>
      <c r="R16" s="104"/>
      <c r="S16" s="104"/>
      <c r="T16" s="104"/>
    </row>
    <row r="17" spans="1:20" ht="30" customHeight="1" x14ac:dyDescent="0.25">
      <c r="A17" s="205" t="str">
        <f>'S. BIENESTAR'!B22</f>
        <v>SB-PY4. Desarrollo Humano con responsabilidad y compromiso.</v>
      </c>
      <c r="B17" s="120">
        <v>0.1</v>
      </c>
      <c r="C17" s="1" t="s">
        <v>316</v>
      </c>
      <c r="D17" s="98">
        <f>'S. BIENESTAR'!AH23</f>
        <v>0.33333333333333331</v>
      </c>
      <c r="E17" s="204">
        <f>B17*Q11</f>
        <v>0.1</v>
      </c>
      <c r="F17" s="194">
        <f>T11</f>
        <v>0.66001625451478241</v>
      </c>
      <c r="I17" s="104"/>
      <c r="J17" s="104" t="str">
        <f t="shared" si="0"/>
        <v>Amarillo</v>
      </c>
      <c r="K17" s="104"/>
      <c r="L17" s="104"/>
      <c r="M17" s="104"/>
      <c r="N17" s="104"/>
      <c r="O17" s="104"/>
      <c r="P17" s="104"/>
      <c r="Q17" s="104"/>
      <c r="R17" s="104"/>
      <c r="S17" s="104"/>
      <c r="T17" s="104"/>
    </row>
    <row r="18" spans="1:20" x14ac:dyDescent="0.25">
      <c r="A18" s="644" t="str">
        <f>'S. BIENESTAR'!B24</f>
        <v>SB-PY5.  Desarrollo Socio-Económico con responsabilidad y compromiso.</v>
      </c>
      <c r="B18" s="637">
        <v>0.18</v>
      </c>
      <c r="C18" s="1" t="s">
        <v>321</v>
      </c>
      <c r="D18" s="98">
        <f>AVERAGE('S. BIENESTAR'!AH24:AH27)</f>
        <v>12.759324473297404</v>
      </c>
      <c r="E18" s="638">
        <f>B18*Q12</f>
        <v>0.12000000000000001</v>
      </c>
      <c r="F18" s="647">
        <f>T12</f>
        <v>0.43824229123610492</v>
      </c>
      <c r="I18" s="104"/>
      <c r="J18" s="104" t="str">
        <f t="shared" si="0"/>
        <v>Azul</v>
      </c>
      <c r="K18" s="104"/>
      <c r="L18" s="104"/>
      <c r="M18" s="104"/>
      <c r="N18" s="104"/>
      <c r="O18" s="104"/>
      <c r="P18" s="104"/>
      <c r="Q18" s="104"/>
      <c r="R18" s="104"/>
      <c r="S18" s="104"/>
      <c r="T18" s="104"/>
    </row>
    <row r="19" spans="1:20" ht="15" customHeight="1" x14ac:dyDescent="0.25">
      <c r="A19" s="645"/>
      <c r="B19" s="542"/>
      <c r="C19" s="1" t="s">
        <v>325</v>
      </c>
      <c r="D19" s="98">
        <f>'S. BIENESTAR'!AH28</f>
        <v>0.4088050314465409</v>
      </c>
      <c r="E19" s="638"/>
      <c r="F19" s="470"/>
      <c r="I19" s="104"/>
      <c r="J19" s="104" t="str">
        <f t="shared" si="0"/>
        <v>Verde</v>
      </c>
      <c r="K19" s="104"/>
      <c r="L19" s="104"/>
      <c r="M19" s="104"/>
      <c r="N19" s="104"/>
      <c r="O19" s="104"/>
      <c r="P19" s="104"/>
      <c r="Q19" s="104"/>
      <c r="R19" s="104"/>
      <c r="S19" s="104"/>
      <c r="T19" s="104"/>
    </row>
    <row r="20" spans="1:20" ht="15" customHeight="1" x14ac:dyDescent="0.25">
      <c r="A20" s="646"/>
      <c r="B20" s="543"/>
      <c r="C20" s="1" t="s">
        <v>328</v>
      </c>
      <c r="D20" s="98">
        <f>'S. BIENESTAR'!AH29</f>
        <v>0</v>
      </c>
      <c r="E20" s="638"/>
      <c r="F20" s="470"/>
      <c r="I20" s="104"/>
      <c r="J20" s="104" t="str">
        <f t="shared" si="0"/>
        <v>Rojo</v>
      </c>
      <c r="K20" s="104"/>
      <c r="L20" s="104"/>
      <c r="M20" s="104"/>
      <c r="N20" s="104"/>
      <c r="O20" s="104"/>
      <c r="P20" s="104"/>
      <c r="Q20" s="104"/>
      <c r="R20" s="104"/>
      <c r="S20" s="104"/>
      <c r="T20" s="104"/>
    </row>
    <row r="21" spans="1:20" ht="45" x14ac:dyDescent="0.25">
      <c r="A21" s="117" t="str">
        <f>'S. BIENESTAR'!B30</f>
        <v>SB-PY6.  Promoción de la Permanencia y Graduación estudiantil en la Usco.</v>
      </c>
      <c r="B21" s="120">
        <v>0.18</v>
      </c>
      <c r="C21" s="1" t="s">
        <v>331</v>
      </c>
      <c r="D21" s="98">
        <f>'S. BIENESTAR'!AH30</f>
        <v>0.15512465373961218</v>
      </c>
      <c r="E21" s="95">
        <f>B18*Q13</f>
        <v>2.7917999999999998E-2</v>
      </c>
      <c r="F21" s="194">
        <f>T13</f>
        <v>0.72192047999999998</v>
      </c>
      <c r="I21" s="104"/>
      <c r="J21" s="104" t="str">
        <f t="shared" si="0"/>
        <v>Rojo</v>
      </c>
      <c r="K21" s="104"/>
      <c r="L21" s="104"/>
      <c r="M21" s="104"/>
      <c r="N21" s="104"/>
      <c r="O21" s="104"/>
      <c r="P21" s="104"/>
      <c r="Q21" s="104"/>
      <c r="R21" s="104"/>
      <c r="S21" s="104"/>
      <c r="T21" s="104"/>
    </row>
    <row r="22" spans="1:20" ht="15" customHeight="1" x14ac:dyDescent="0.25">
      <c r="A22" s="648" t="s">
        <v>499</v>
      </c>
      <c r="B22" s="648"/>
      <c r="C22" s="648"/>
      <c r="D22" s="648"/>
      <c r="E22" s="195">
        <f>AVERAGE(E8:E21)</f>
        <v>0.12274823809523809</v>
      </c>
      <c r="F22" s="195">
        <f>AVERAGE(F8:F21)</f>
        <v>0.58391584321099044</v>
      </c>
      <c r="I22" s="104"/>
      <c r="J22" s="104"/>
      <c r="K22" s="104"/>
      <c r="L22" s="104"/>
      <c r="M22" s="104"/>
      <c r="N22" s="104"/>
      <c r="O22" s="104"/>
      <c r="P22" s="104"/>
      <c r="Q22" s="104"/>
      <c r="R22" s="104"/>
      <c r="S22" s="104"/>
      <c r="T22" s="104"/>
    </row>
    <row r="23" spans="1:20" x14ac:dyDescent="0.25">
      <c r="C23" s="113" t="s">
        <v>500</v>
      </c>
      <c r="I23" s="104"/>
      <c r="J23" s="104"/>
      <c r="K23" s="104"/>
      <c r="L23" s="104"/>
      <c r="M23" s="104"/>
      <c r="N23" s="104"/>
      <c r="O23" s="104"/>
      <c r="P23" s="104"/>
      <c r="Q23" s="104"/>
      <c r="R23" s="104"/>
      <c r="S23" s="104"/>
      <c r="T23" s="104"/>
    </row>
    <row r="24" spans="1:20" x14ac:dyDescent="0.25">
      <c r="F24" s="307"/>
      <c r="I24" s="104"/>
      <c r="J24" s="104"/>
      <c r="K24" s="104"/>
      <c r="L24" s="104"/>
      <c r="M24" s="104"/>
      <c r="N24" s="104"/>
      <c r="O24" s="104"/>
      <c r="P24" s="104"/>
      <c r="Q24" s="104"/>
      <c r="R24" s="104"/>
      <c r="S24" s="104"/>
      <c r="T24" s="104"/>
    </row>
    <row r="25" spans="1:20" x14ac:dyDescent="0.25">
      <c r="I25" s="104"/>
      <c r="J25" s="104"/>
      <c r="K25" s="104"/>
      <c r="L25" s="104"/>
      <c r="M25" s="104"/>
      <c r="N25" s="104"/>
      <c r="O25" s="104"/>
      <c r="P25" s="104"/>
      <c r="Q25" s="104"/>
      <c r="R25" s="104"/>
      <c r="S25" s="104"/>
      <c r="T25" s="104"/>
    </row>
    <row r="26" spans="1:20" ht="15.75" x14ac:dyDescent="0.25">
      <c r="A26" s="111"/>
      <c r="B26" s="111"/>
      <c r="C26" s="111"/>
      <c r="D26" s="111"/>
      <c r="I26" s="104"/>
      <c r="J26" s="104"/>
      <c r="K26" s="104"/>
      <c r="L26" s="104"/>
      <c r="M26" s="104"/>
      <c r="N26" s="104"/>
      <c r="O26" s="104"/>
      <c r="P26" s="104"/>
      <c r="Q26" s="104"/>
      <c r="R26" s="104"/>
      <c r="S26" s="104"/>
      <c r="T26" s="104"/>
    </row>
    <row r="27" spans="1:20" ht="30" x14ac:dyDescent="0.25">
      <c r="A27" s="213" t="s">
        <v>489</v>
      </c>
      <c r="B27" s="213" t="s">
        <v>729</v>
      </c>
      <c r="C27" s="213" t="s">
        <v>731</v>
      </c>
      <c r="D27" s="213" t="s">
        <v>7</v>
      </c>
      <c r="J27" s="104"/>
    </row>
    <row r="28" spans="1:20" x14ac:dyDescent="0.25">
      <c r="A28" s="11" t="str">
        <f>A8</f>
        <v>SB-PY1.   Universidad Saludable.</v>
      </c>
      <c r="B28" s="214">
        <f>Q8</f>
        <v>0.7142857142857143</v>
      </c>
      <c r="C28" s="214">
        <f>F8</f>
        <v>0.6897220092879871</v>
      </c>
      <c r="D28" s="214">
        <f>(B28+C28)/2</f>
        <v>0.7020038617868507</v>
      </c>
      <c r="J28" s="104"/>
    </row>
    <row r="29" spans="1:20" ht="30" x14ac:dyDescent="0.25">
      <c r="A29" s="289" t="str">
        <f>A15</f>
        <v>SB-PY2.  Recreación y Deportes con responsabilidad y compromiso.</v>
      </c>
      <c r="B29" s="288">
        <f t="shared" ref="B29:B33" si="4">Q9</f>
        <v>1</v>
      </c>
      <c r="C29" s="214">
        <f>F15</f>
        <v>0.42220050670770848</v>
      </c>
      <c r="D29" s="214">
        <f t="shared" ref="D29:D33" si="5">(B29+C29)/2</f>
        <v>0.71110025335385418</v>
      </c>
      <c r="J29" s="104"/>
    </row>
    <row r="30" spans="1:20" ht="30" x14ac:dyDescent="0.25">
      <c r="A30" s="289" t="str">
        <f>A16</f>
        <v>SB-PY3. Cultura con responsabilidad y compromiso.</v>
      </c>
      <c r="B30" s="288">
        <f t="shared" si="4"/>
        <v>1</v>
      </c>
      <c r="C30" s="214">
        <f>F16</f>
        <v>0.57139351751935952</v>
      </c>
      <c r="D30" s="214">
        <f t="shared" si="5"/>
        <v>0.7856967587596797</v>
      </c>
      <c r="J30" s="104"/>
    </row>
    <row r="31" spans="1:20" ht="30" x14ac:dyDescent="0.25">
      <c r="A31" s="289" t="str">
        <f>A17</f>
        <v>SB-PY4. Desarrollo Humano con responsabilidad y compromiso.</v>
      </c>
      <c r="B31" s="288">
        <f t="shared" si="4"/>
        <v>1</v>
      </c>
      <c r="C31" s="214">
        <f>F17</f>
        <v>0.66001625451478241</v>
      </c>
      <c r="D31" s="214">
        <f t="shared" si="5"/>
        <v>0.83000812725739115</v>
      </c>
      <c r="J31" s="104"/>
    </row>
    <row r="32" spans="1:20" ht="30" x14ac:dyDescent="0.25">
      <c r="A32" s="289" t="str">
        <f>A18</f>
        <v>SB-PY5.  Desarrollo Socio-Económico con responsabilidad y compromiso.</v>
      </c>
      <c r="B32" s="288">
        <f t="shared" si="4"/>
        <v>0.66666666666666674</v>
      </c>
      <c r="C32" s="214">
        <f>F18</f>
        <v>0.43824229123610492</v>
      </c>
      <c r="D32" s="214">
        <f t="shared" si="5"/>
        <v>0.55245447895138589</v>
      </c>
      <c r="J32" s="104"/>
    </row>
    <row r="33" spans="1:20" ht="45" x14ac:dyDescent="0.25">
      <c r="A33" s="289" t="str">
        <f>A21</f>
        <v>SB-PY6.  Promoción de la Permanencia y Graduación estudiantil en la Usco.</v>
      </c>
      <c r="B33" s="288">
        <f t="shared" si="4"/>
        <v>0.15509999999999999</v>
      </c>
      <c r="C33" s="214">
        <f>F21</f>
        <v>0.72192047999999998</v>
      </c>
      <c r="D33" s="214">
        <f t="shared" si="5"/>
        <v>0.43851024</v>
      </c>
      <c r="J33" s="104"/>
    </row>
    <row r="34" spans="1:20" x14ac:dyDescent="0.25">
      <c r="A34" s="215" t="s">
        <v>728</v>
      </c>
      <c r="B34" s="214">
        <f>AVERAGE(B28:B33)</f>
        <v>0.75600873015873027</v>
      </c>
      <c r="C34" s="214">
        <f t="shared" ref="C34:D34" si="6">AVERAGE(C28:C33)</f>
        <v>0.58391584321099044</v>
      </c>
      <c r="D34" s="214">
        <f t="shared" si="6"/>
        <v>0.66996228668486024</v>
      </c>
      <c r="J34" s="104"/>
    </row>
    <row r="35" spans="1:20" x14ac:dyDescent="0.25">
      <c r="J35" s="104"/>
    </row>
    <row r="36" spans="1:20" x14ac:dyDescent="0.25">
      <c r="J36" s="104"/>
    </row>
    <row r="37" spans="1:20" x14ac:dyDescent="0.25">
      <c r="J37" s="104"/>
    </row>
    <row r="38" spans="1:20" x14ac:dyDescent="0.25">
      <c r="J38" s="104"/>
    </row>
    <row r="39" spans="1:20" ht="19.5" x14ac:dyDescent="0.3">
      <c r="A39" s="633" t="s">
        <v>498</v>
      </c>
      <c r="B39" s="633"/>
      <c r="C39" s="633"/>
      <c r="D39" s="633"/>
      <c r="E39" s="633"/>
      <c r="F39" s="633"/>
    </row>
    <row r="40" spans="1:20" ht="45" x14ac:dyDescent="0.25">
      <c r="A40" s="355" t="s">
        <v>489</v>
      </c>
      <c r="B40" s="342" t="s">
        <v>490</v>
      </c>
      <c r="C40" s="355" t="s">
        <v>491</v>
      </c>
      <c r="D40" s="342" t="s">
        <v>492</v>
      </c>
      <c r="E40" s="342" t="s">
        <v>493</v>
      </c>
      <c r="F40" s="342" t="s">
        <v>494</v>
      </c>
      <c r="I40" s="103"/>
      <c r="J40" s="103"/>
      <c r="K40" s="103"/>
      <c r="L40" s="103" t="s">
        <v>710</v>
      </c>
      <c r="M40" s="103" t="s">
        <v>711</v>
      </c>
      <c r="N40" s="103" t="s">
        <v>712</v>
      </c>
      <c r="O40" s="103" t="s">
        <v>713</v>
      </c>
      <c r="P40" s="103" t="s">
        <v>714</v>
      </c>
      <c r="Q40" s="103"/>
      <c r="R40" s="190" t="s">
        <v>715</v>
      </c>
      <c r="S40" s="190" t="s">
        <v>716</v>
      </c>
      <c r="T40" s="103"/>
    </row>
    <row r="41" spans="1:20" x14ac:dyDescent="0.25">
      <c r="A41" s="649" t="s">
        <v>282</v>
      </c>
      <c r="B41" s="637">
        <v>0.18</v>
      </c>
      <c r="C41" s="1" t="s">
        <v>283</v>
      </c>
      <c r="D41" s="363">
        <f>'S. BIENESTAR'!AV4</f>
        <v>1301.9209512666598</v>
      </c>
      <c r="E41" s="640">
        <f>B41*Q41</f>
        <v>0.12857142857142856</v>
      </c>
      <c r="F41" s="634">
        <f>T41</f>
        <v>1.0216040267169966</v>
      </c>
      <c r="I41" s="104"/>
      <c r="J41" s="104" t="str">
        <f>IF(D41&lt;25%,"Rojo",IF(D41&lt;56%,"Amarillo",IF(D41&lt;74.1%,"Verde","Azul")))</f>
        <v>Azul</v>
      </c>
      <c r="K41" s="104" t="s">
        <v>704</v>
      </c>
      <c r="L41" s="104">
        <f>COUNTIF($J$41:$J$47,"Rojo")</f>
        <v>2</v>
      </c>
      <c r="M41" s="104">
        <f>COUNTIF($J$41:$J$47,"Amarillo")</f>
        <v>0</v>
      </c>
      <c r="N41" s="104">
        <f>COUNTIF($J$41:$J$47,"Verde")</f>
        <v>0</v>
      </c>
      <c r="O41" s="104">
        <f>COUNTIF($J$41:$J$47,"Azul")</f>
        <v>5</v>
      </c>
      <c r="P41" s="104">
        <f>SUM(L41:O41)</f>
        <v>7</v>
      </c>
      <c r="Q41" s="192">
        <f t="shared" ref="Q41:Q46" si="7">((100/P41)*SUM(M41:O41)/100)</f>
        <v>0.7142857142857143</v>
      </c>
      <c r="R41" s="191">
        <f>'S. BIENESTAR'!$AK$4+'S. BIENESTAR'!$AK$5+'S. BIENESTAR'!$AK$6+'S. BIENESTAR'!$AK$7+'S. BIENESTAR'!$AK$8+'S. BIENESTAR'!$AK$10+'S. BIENESTAR'!$AK$12</f>
        <v>423946754</v>
      </c>
      <c r="S41" s="191">
        <f>'S. BIENESTAR'!$AL$4+'S. BIENESTAR'!$AL$5+'S. BIENESTAR'!$AL$6+'S. BIENESTAR'!$AL$7+'S. BIENESTAR'!$AL$8+'S. BIENESTAR'!$AL$10+'S. BIENESTAR'!$AL$12</f>
        <v>433105711</v>
      </c>
      <c r="T41" s="193">
        <f>IFERROR(S41/R41,0)</f>
        <v>1.0216040267169966</v>
      </c>
    </row>
    <row r="42" spans="1:20" x14ac:dyDescent="0.25">
      <c r="A42" s="650"/>
      <c r="B42" s="639"/>
      <c r="C42" s="1" t="s">
        <v>287</v>
      </c>
      <c r="D42" s="363">
        <f>'S. BIENESTAR'!AV5</f>
        <v>1737.1469051396168</v>
      </c>
      <c r="E42" s="641"/>
      <c r="F42" s="635"/>
      <c r="I42" s="104"/>
      <c r="J42" s="104" t="str">
        <f t="shared" ref="J42:J54" si="8">IF(D42&lt;25%,"Rojo",IF(D42&lt;56%,"Amarillo",IF(D42&lt;74.1%,"Verde","Azul")))</f>
        <v>Azul</v>
      </c>
      <c r="K42" s="104" t="s">
        <v>705</v>
      </c>
      <c r="L42" s="104">
        <f>COUNTIF($J$48:$J$48,"Rojo")</f>
        <v>0</v>
      </c>
      <c r="M42" s="104">
        <f>COUNTIF($J$48:$J$48,"Amarillo")</f>
        <v>0</v>
      </c>
      <c r="N42" s="104">
        <f>COUNTIF($J$48:$J$48,"Verde")</f>
        <v>0</v>
      </c>
      <c r="O42" s="104">
        <f>COUNTIF($J$48:$J$48,"Azul")</f>
        <v>1</v>
      </c>
      <c r="P42" s="104">
        <f t="shared" ref="P42:P46" si="9">SUM(L42:O42)</f>
        <v>1</v>
      </c>
      <c r="Q42" s="192">
        <f t="shared" si="7"/>
        <v>1</v>
      </c>
      <c r="R42" s="191">
        <f>'S. BIENESTAR'!$AK$17</f>
        <v>497028160</v>
      </c>
      <c r="S42" s="191">
        <f>'S. BIENESTAR'!$AL$17</f>
        <v>434042517</v>
      </c>
      <c r="T42" s="193">
        <f t="shared" ref="T42:T46" si="10">IFERROR(S42/R42,0)</f>
        <v>0.87327550414849731</v>
      </c>
    </row>
    <row r="43" spans="1:20" x14ac:dyDescent="0.25">
      <c r="A43" s="650"/>
      <c r="B43" s="639"/>
      <c r="C43" s="1" t="s">
        <v>289</v>
      </c>
      <c r="D43" s="363">
        <f>'S. BIENESTAR'!AV6</f>
        <v>651.71502751969012</v>
      </c>
      <c r="E43" s="641"/>
      <c r="F43" s="635"/>
      <c r="I43" s="104"/>
      <c r="J43" s="104" t="str">
        <f t="shared" si="8"/>
        <v>Azul</v>
      </c>
      <c r="K43" s="104" t="s">
        <v>706</v>
      </c>
      <c r="L43" s="104">
        <f>COUNTIF($J$49:$J$49,"Rojo")</f>
        <v>0</v>
      </c>
      <c r="M43" s="104">
        <f>COUNTIF($J$49:$J$49,"Amarillo")</f>
        <v>0</v>
      </c>
      <c r="N43" s="104">
        <f>COUNTIF($J$49:$J$49,"Verde")</f>
        <v>0</v>
      </c>
      <c r="O43" s="104">
        <f>COUNTIF($J$49:$J$49,"Azul")</f>
        <v>1</v>
      </c>
      <c r="P43" s="104">
        <f t="shared" si="9"/>
        <v>1</v>
      </c>
      <c r="Q43" s="192">
        <f t="shared" si="7"/>
        <v>1</v>
      </c>
      <c r="R43" s="191">
        <f>'S. BIENESTAR'!$AK$19</f>
        <v>416048971</v>
      </c>
      <c r="S43" s="191">
        <f>'S. BIENESTAR'!$AL$19</f>
        <v>382457971</v>
      </c>
      <c r="T43" s="193">
        <f t="shared" si="10"/>
        <v>0.91926190823339404</v>
      </c>
    </row>
    <row r="44" spans="1:20" x14ac:dyDescent="0.25">
      <c r="A44" s="650"/>
      <c r="B44" s="639"/>
      <c r="C44" s="1" t="s">
        <v>291</v>
      </c>
      <c r="D44" s="363">
        <f>'S. BIENESTAR'!AV7</f>
        <v>0</v>
      </c>
      <c r="E44" s="641"/>
      <c r="F44" s="635"/>
      <c r="I44" s="104"/>
      <c r="J44" s="104" t="str">
        <f t="shared" si="8"/>
        <v>Rojo</v>
      </c>
      <c r="K44" s="104" t="s">
        <v>707</v>
      </c>
      <c r="L44" s="104">
        <f>COUNTIF($J$50:$J$50,"Rojo")</f>
        <v>1</v>
      </c>
      <c r="M44" s="104">
        <f>COUNTIF($J$50:$J$50,"Amarillo")</f>
        <v>0</v>
      </c>
      <c r="N44" s="104">
        <f>COUNTIF($J$50:$J$50,"Verde")</f>
        <v>0</v>
      </c>
      <c r="O44" s="104">
        <f>COUNTIF($J$50:$J$50,"Azul")</f>
        <v>0</v>
      </c>
      <c r="P44" s="104">
        <f t="shared" si="9"/>
        <v>1</v>
      </c>
      <c r="Q44" s="192">
        <f t="shared" si="7"/>
        <v>0</v>
      </c>
      <c r="R44" s="191">
        <f>'S. BIENESTAR'!$AK$22</f>
        <v>125165225</v>
      </c>
      <c r="S44" s="191">
        <f>'S. BIENESTAR'!$AL$22</f>
        <v>83669383</v>
      </c>
      <c r="T44" s="193">
        <f t="shared" si="10"/>
        <v>0.6684714783998511</v>
      </c>
    </row>
    <row r="45" spans="1:20" ht="15" customHeight="1" x14ac:dyDescent="0.25">
      <c r="A45" s="650"/>
      <c r="B45" s="639"/>
      <c r="C45" s="1" t="s">
        <v>294</v>
      </c>
      <c r="D45" s="363">
        <f>'S. BIENESTAR'!AV8</f>
        <v>258.90273269669626</v>
      </c>
      <c r="E45" s="641"/>
      <c r="F45" s="635"/>
      <c r="I45" s="104"/>
      <c r="J45" s="104" t="str">
        <f t="shared" si="8"/>
        <v>Azul</v>
      </c>
      <c r="K45" s="104" t="s">
        <v>708</v>
      </c>
      <c r="L45" s="104">
        <f>COUNTIF($J$51:$J$53,"Rojo")</f>
        <v>0</v>
      </c>
      <c r="M45" s="104">
        <f>COUNTIF($J$51:$J$53,"Amarillo")</f>
        <v>0</v>
      </c>
      <c r="N45" s="104">
        <f>COUNTIF($J$51:$J$53,"Verde")</f>
        <v>0</v>
      </c>
      <c r="O45" s="104">
        <f>COUNTIF($J$51:$J$53,"Azul")</f>
        <v>3</v>
      </c>
      <c r="P45" s="104">
        <f t="shared" si="9"/>
        <v>3</v>
      </c>
      <c r="Q45" s="192">
        <f t="shared" si="7"/>
        <v>1</v>
      </c>
      <c r="R45" s="191">
        <f>'S. BIENESTAR'!$AK$24+'S. BIENESTAR'!$AK$25+'S. BIENESTAR'!$AK$26+'S. BIENESTAR'!$AK$27</f>
        <v>1431437569</v>
      </c>
      <c r="S45" s="191">
        <f>'S. BIENESTAR'!$AL$24+'S. BIENESTAR'!$AL$25+'S. BIENESTAR'!$AL$26+'S. BIENESTAR'!$AL$27</f>
        <v>1010414972</v>
      </c>
      <c r="T45" s="193">
        <f t="shared" si="10"/>
        <v>0.70587428601994451</v>
      </c>
    </row>
    <row r="46" spans="1:20" x14ac:dyDescent="0.25">
      <c r="A46" s="650"/>
      <c r="B46" s="639"/>
      <c r="C46" s="1" t="s">
        <v>296</v>
      </c>
      <c r="D46" s="363">
        <f>'S. BIENESTAR'!AV9</f>
        <v>0</v>
      </c>
      <c r="E46" s="641"/>
      <c r="F46" s="635"/>
      <c r="I46" s="104"/>
      <c r="J46" s="104" t="str">
        <f t="shared" si="8"/>
        <v>Rojo</v>
      </c>
      <c r="K46" s="104" t="s">
        <v>717</v>
      </c>
      <c r="L46" s="104">
        <f>COUNTIF($J$54:$J$54,"Rojo")</f>
        <v>1</v>
      </c>
      <c r="M46" s="104">
        <f>COUNTIF($J$54:$J$54,"Amarillo")</f>
        <v>0</v>
      </c>
      <c r="N46" s="104">
        <f>COUNTIF($J$54:$J$54,"Verde")</f>
        <v>0</v>
      </c>
      <c r="O46" s="104">
        <f>COUNTIF($J$54:$J$54,"Azul")</f>
        <v>0</v>
      </c>
      <c r="P46" s="104">
        <f t="shared" si="9"/>
        <v>1</v>
      </c>
      <c r="Q46" s="192">
        <f t="shared" si="7"/>
        <v>0</v>
      </c>
      <c r="R46" s="191">
        <f>'S. BIENESTAR'!$AK$30</f>
        <v>50000000</v>
      </c>
      <c r="S46" s="191">
        <f>'S. BIENESTAR'!$AL$30</f>
        <v>37538476</v>
      </c>
      <c r="T46" s="193">
        <f t="shared" si="10"/>
        <v>0.75076951999999997</v>
      </c>
    </row>
    <row r="47" spans="1:20" ht="15" customHeight="1" x14ac:dyDescent="0.25">
      <c r="A47" s="651"/>
      <c r="B47" s="642"/>
      <c r="C47" s="1" t="s">
        <v>722</v>
      </c>
      <c r="D47" s="363">
        <f>'S. BIENESTAR'!AV10</f>
        <v>573.8602094281822</v>
      </c>
      <c r="E47" s="643"/>
      <c r="F47" s="636"/>
      <c r="I47" s="104"/>
      <c r="J47" s="104" t="str">
        <f t="shared" si="8"/>
        <v>Azul</v>
      </c>
      <c r="K47" s="104"/>
      <c r="L47" s="104"/>
      <c r="M47" s="104"/>
      <c r="N47" s="104"/>
      <c r="O47" s="104"/>
      <c r="P47" s="104"/>
      <c r="Q47" s="192"/>
      <c r="R47" s="191">
        <f>SUM(R41:R46)</f>
        <v>2943626679</v>
      </c>
      <c r="S47" s="191">
        <f>SUM(S41:S46)</f>
        <v>2381229030</v>
      </c>
      <c r="T47" s="193"/>
    </row>
    <row r="48" spans="1:20" ht="30" x14ac:dyDescent="0.25">
      <c r="A48" s="334" t="s">
        <v>305</v>
      </c>
      <c r="B48" s="343">
        <v>0.18</v>
      </c>
      <c r="C48" s="1" t="s">
        <v>306</v>
      </c>
      <c r="D48" s="363">
        <f>AVERAGE('S. BIENESTAR'!AV17:AV18)</f>
        <v>104.16</v>
      </c>
      <c r="E48" s="344">
        <f>B48*Q42</f>
        <v>0.18</v>
      </c>
      <c r="F48" s="345">
        <f>T42</f>
        <v>0.87327550414849731</v>
      </c>
      <c r="I48" s="104"/>
      <c r="J48" s="104" t="str">
        <f t="shared" si="8"/>
        <v>Azul</v>
      </c>
      <c r="K48" s="104"/>
      <c r="L48" s="104"/>
      <c r="M48" s="104"/>
      <c r="N48" s="104"/>
      <c r="O48" s="104"/>
      <c r="P48" s="104"/>
      <c r="Q48" s="104"/>
      <c r="R48" s="104"/>
      <c r="S48" s="104"/>
      <c r="T48" s="104"/>
    </row>
    <row r="49" spans="1:20" ht="15" customHeight="1" x14ac:dyDescent="0.25">
      <c r="A49" s="349" t="s">
        <v>309</v>
      </c>
      <c r="B49" s="348">
        <v>0.18</v>
      </c>
      <c r="C49" s="1" t="s">
        <v>310</v>
      </c>
      <c r="D49" s="363">
        <f>AVERAGE('S. BIENESTAR'!AV19:AV21)</f>
        <v>175.96980263512148</v>
      </c>
      <c r="E49" s="346">
        <f>B49*Q43</f>
        <v>0.18</v>
      </c>
      <c r="F49" s="347">
        <f>T43</f>
        <v>0.91926190823339404</v>
      </c>
      <c r="I49" s="104"/>
      <c r="J49" s="104" t="str">
        <f t="shared" si="8"/>
        <v>Azul</v>
      </c>
      <c r="K49" s="104"/>
      <c r="L49" s="104"/>
      <c r="M49" s="104"/>
      <c r="N49" s="104"/>
      <c r="O49" s="104"/>
      <c r="P49" s="104"/>
      <c r="Q49" s="104"/>
      <c r="R49" s="104"/>
      <c r="S49" s="104"/>
      <c r="T49" s="104"/>
    </row>
    <row r="50" spans="1:20" ht="30" x14ac:dyDescent="0.25">
      <c r="A50" s="351" t="s">
        <v>315</v>
      </c>
      <c r="B50" s="343">
        <v>0.1</v>
      </c>
      <c r="C50" s="1" t="s">
        <v>316</v>
      </c>
      <c r="D50" s="363">
        <f>'S. BIENESTAR'!AV23</f>
        <v>0</v>
      </c>
      <c r="E50" s="346">
        <f>B50*Q44</f>
        <v>0</v>
      </c>
      <c r="F50" s="347">
        <f>T44</f>
        <v>0.6684714783998511</v>
      </c>
      <c r="I50" s="104"/>
      <c r="J50" s="104" t="str">
        <f t="shared" si="8"/>
        <v>Rojo</v>
      </c>
      <c r="K50" s="104"/>
      <c r="L50" s="104"/>
      <c r="M50" s="104"/>
      <c r="N50" s="104"/>
      <c r="O50" s="104"/>
      <c r="P50" s="104"/>
      <c r="Q50" s="104"/>
      <c r="R50" s="104"/>
      <c r="S50" s="104"/>
      <c r="T50" s="104"/>
    </row>
    <row r="51" spans="1:20" ht="15" customHeight="1" x14ac:dyDescent="0.25">
      <c r="A51" s="644" t="s">
        <v>320</v>
      </c>
      <c r="B51" s="637">
        <v>0.18</v>
      </c>
      <c r="C51" s="1" t="s">
        <v>321</v>
      </c>
      <c r="D51" s="363">
        <f>AVERAGE('S. BIENESTAR'!AV24:AV27)</f>
        <v>91050.412641718838</v>
      </c>
      <c r="E51" s="638">
        <f>B51*Q45</f>
        <v>0.18</v>
      </c>
      <c r="F51" s="647">
        <f>T45</f>
        <v>0.70587428601994451</v>
      </c>
      <c r="I51" s="104"/>
      <c r="J51" s="104" t="str">
        <f t="shared" si="8"/>
        <v>Azul</v>
      </c>
      <c r="K51" s="104"/>
      <c r="L51" s="104"/>
      <c r="M51" s="104"/>
      <c r="N51" s="104"/>
      <c r="O51" s="104"/>
      <c r="P51" s="104"/>
      <c r="Q51" s="104"/>
      <c r="R51" s="104"/>
      <c r="S51" s="104"/>
      <c r="T51" s="104"/>
    </row>
    <row r="52" spans="1:20" x14ac:dyDescent="0.25">
      <c r="A52" s="645"/>
      <c r="B52" s="542"/>
      <c r="C52" s="1" t="s">
        <v>325</v>
      </c>
      <c r="D52" s="363">
        <f>'S. BIENESTAR'!AV28</f>
        <v>178.74175859572216</v>
      </c>
      <c r="E52" s="638"/>
      <c r="F52" s="470"/>
      <c r="I52" s="104"/>
      <c r="J52" s="104" t="str">
        <f t="shared" si="8"/>
        <v>Azul</v>
      </c>
      <c r="K52" s="104"/>
      <c r="L52" s="104"/>
      <c r="M52" s="104"/>
      <c r="N52" s="104"/>
      <c r="O52" s="104"/>
      <c r="P52" s="104"/>
      <c r="Q52" s="104"/>
      <c r="R52" s="104"/>
      <c r="S52" s="104"/>
      <c r="T52" s="104"/>
    </row>
    <row r="53" spans="1:20" x14ac:dyDescent="0.25">
      <c r="A53" s="646"/>
      <c r="B53" s="543"/>
      <c r="C53" s="1" t="s">
        <v>328</v>
      </c>
      <c r="D53" s="363">
        <f>'S. BIENESTAR'!AV29</f>
        <v>2.4200116815980546</v>
      </c>
      <c r="E53" s="638"/>
      <c r="F53" s="470"/>
      <c r="I53" s="104"/>
      <c r="J53" s="104" t="str">
        <f t="shared" si="8"/>
        <v>Azul</v>
      </c>
      <c r="K53" s="104"/>
      <c r="L53" s="104"/>
      <c r="M53" s="104"/>
      <c r="N53" s="104"/>
      <c r="O53" s="104"/>
      <c r="P53" s="104"/>
      <c r="Q53" s="104"/>
      <c r="R53" s="104"/>
      <c r="S53" s="104"/>
      <c r="T53" s="104"/>
    </row>
    <row r="54" spans="1:20" ht="45" x14ac:dyDescent="0.25">
      <c r="A54" s="333" t="s">
        <v>330</v>
      </c>
      <c r="B54" s="343">
        <v>0.18</v>
      </c>
      <c r="C54" s="1" t="s">
        <v>331</v>
      </c>
      <c r="D54" s="363">
        <f>'S. BIENESTAR'!AV30</f>
        <v>0</v>
      </c>
      <c r="E54" s="350">
        <f>B51*Q46</f>
        <v>0</v>
      </c>
      <c r="F54" s="347">
        <f>T46</f>
        <v>0.75076951999999997</v>
      </c>
      <c r="I54" s="104"/>
      <c r="J54" s="104" t="str">
        <f t="shared" si="8"/>
        <v>Rojo</v>
      </c>
      <c r="K54" s="104"/>
      <c r="L54" s="104"/>
      <c r="M54" s="104"/>
      <c r="N54" s="104"/>
      <c r="O54" s="104"/>
      <c r="P54" s="104"/>
      <c r="Q54" s="104"/>
      <c r="R54" s="104"/>
      <c r="S54" s="104"/>
      <c r="T54" s="104"/>
    </row>
    <row r="55" spans="1:20" ht="15" customHeight="1" x14ac:dyDescent="0.25">
      <c r="A55" s="648" t="s">
        <v>499</v>
      </c>
      <c r="B55" s="648"/>
      <c r="C55" s="648"/>
      <c r="D55" s="648"/>
      <c r="E55" s="195">
        <f>AVERAGE(E41:E54)</f>
        <v>0.11142857142857143</v>
      </c>
      <c r="F55" s="195">
        <f>AVERAGE(F41:F54)</f>
        <v>0.82320945391978062</v>
      </c>
      <c r="I55" s="104"/>
      <c r="J55" s="104"/>
      <c r="K55" s="104"/>
      <c r="L55" s="104"/>
      <c r="M55" s="104"/>
      <c r="N55" s="104"/>
      <c r="O55" s="104"/>
      <c r="P55" s="104"/>
      <c r="Q55" s="104"/>
      <c r="R55" s="104"/>
      <c r="S55" s="104"/>
      <c r="T55" s="104"/>
    </row>
    <row r="56" spans="1:20" x14ac:dyDescent="0.25">
      <c r="C56" s="113" t="s">
        <v>500</v>
      </c>
      <c r="I56" s="104"/>
      <c r="J56" s="104"/>
      <c r="K56" s="104"/>
      <c r="L56" s="104"/>
      <c r="M56" s="104"/>
      <c r="N56" s="104"/>
      <c r="O56" s="104"/>
      <c r="P56" s="104"/>
      <c r="Q56" s="104"/>
      <c r="R56" s="104"/>
      <c r="S56" s="104"/>
      <c r="T56" s="104"/>
    </row>
    <row r="57" spans="1:20" ht="15" customHeight="1" x14ac:dyDescent="0.25">
      <c r="F57" s="307"/>
      <c r="I57" s="104"/>
      <c r="J57" s="104"/>
      <c r="K57" s="104"/>
      <c r="L57" s="104"/>
      <c r="M57" s="104"/>
      <c r="N57" s="104"/>
      <c r="O57" s="104"/>
      <c r="P57" s="104"/>
      <c r="Q57" s="104"/>
      <c r="R57" s="104"/>
      <c r="S57" s="104"/>
      <c r="T57" s="104"/>
    </row>
    <row r="58" spans="1:20" x14ac:dyDescent="0.25">
      <c r="I58" s="104"/>
      <c r="J58" s="104"/>
      <c r="K58" s="104"/>
      <c r="L58" s="104"/>
      <c r="M58" s="104"/>
      <c r="N58" s="104"/>
      <c r="O58" s="104"/>
      <c r="P58" s="104"/>
      <c r="Q58" s="104"/>
      <c r="R58" s="104"/>
      <c r="S58" s="104"/>
      <c r="T58" s="104"/>
    </row>
    <row r="59" spans="1:20" ht="15.75" x14ac:dyDescent="0.25">
      <c r="A59" s="111"/>
      <c r="B59" s="111"/>
      <c r="C59" s="111"/>
      <c r="D59" s="111"/>
      <c r="I59" s="104"/>
      <c r="J59" s="104"/>
      <c r="K59" s="104"/>
      <c r="L59" s="104"/>
      <c r="M59" s="104"/>
      <c r="N59" s="104"/>
      <c r="O59" s="104"/>
      <c r="P59" s="104"/>
      <c r="Q59" s="104"/>
      <c r="R59" s="104"/>
      <c r="S59" s="104"/>
      <c r="T59" s="104"/>
    </row>
    <row r="60" spans="1:20" ht="30" x14ac:dyDescent="0.25">
      <c r="A60" s="342" t="s">
        <v>489</v>
      </c>
      <c r="B60" s="342" t="s">
        <v>729</v>
      </c>
      <c r="C60" s="342" t="s">
        <v>731</v>
      </c>
      <c r="D60" s="342" t="s">
        <v>7</v>
      </c>
      <c r="J60" s="104"/>
    </row>
    <row r="61" spans="1:20" x14ac:dyDescent="0.25">
      <c r="A61" s="11" t="str">
        <f>A41</f>
        <v>SB-PY1.   Universidad Saludable.</v>
      </c>
      <c r="B61" s="363">
        <f>Q41</f>
        <v>0.7142857142857143</v>
      </c>
      <c r="C61" s="363">
        <f>F41</f>
        <v>1.0216040267169966</v>
      </c>
      <c r="D61" s="363">
        <f>(B61+C61)/2</f>
        <v>0.86794487050135549</v>
      </c>
      <c r="J61" s="104"/>
    </row>
    <row r="62" spans="1:20" ht="30" x14ac:dyDescent="0.25">
      <c r="A62" s="356" t="str">
        <f>A48</f>
        <v>SB-PY2.  Recreación y Deportes con responsabilidad y compromiso.</v>
      </c>
      <c r="B62" s="363">
        <f t="shared" ref="B62:B66" si="11">Q42</f>
        <v>1</v>
      </c>
      <c r="C62" s="363">
        <f>F48</f>
        <v>0.87327550414849731</v>
      </c>
      <c r="D62" s="363">
        <f t="shared" ref="D62:D66" si="12">(B62+C62)/2</f>
        <v>0.9366377520742486</v>
      </c>
      <c r="J62" s="104"/>
    </row>
    <row r="63" spans="1:20" ht="30" x14ac:dyDescent="0.25">
      <c r="A63" s="356" t="str">
        <f>A49</f>
        <v>SB-PY3. Cultura con responsabilidad y compromiso.</v>
      </c>
      <c r="B63" s="363">
        <f t="shared" si="11"/>
        <v>1</v>
      </c>
      <c r="C63" s="363">
        <f>F49</f>
        <v>0.91926190823339404</v>
      </c>
      <c r="D63" s="363">
        <f t="shared" si="12"/>
        <v>0.95963095411669697</v>
      </c>
      <c r="J63" s="104"/>
    </row>
    <row r="64" spans="1:20" ht="30" x14ac:dyDescent="0.25">
      <c r="A64" s="356" t="str">
        <f>A50</f>
        <v>SB-PY4. Desarrollo Humano con responsabilidad y compromiso.</v>
      </c>
      <c r="B64" s="363">
        <f t="shared" si="11"/>
        <v>0</v>
      </c>
      <c r="C64" s="363">
        <f>F50</f>
        <v>0.6684714783998511</v>
      </c>
      <c r="D64" s="363">
        <f t="shared" si="12"/>
        <v>0.33423573919992555</v>
      </c>
      <c r="J64" s="104"/>
    </row>
    <row r="65" spans="1:10" ht="30" x14ac:dyDescent="0.25">
      <c r="A65" s="356" t="str">
        <f>A51</f>
        <v>SB-PY5.  Desarrollo Socio-Económico con responsabilidad y compromiso.</v>
      </c>
      <c r="B65" s="363">
        <f t="shared" si="11"/>
        <v>1</v>
      </c>
      <c r="C65" s="363">
        <f>F51</f>
        <v>0.70587428601994451</v>
      </c>
      <c r="D65" s="363">
        <f t="shared" si="12"/>
        <v>0.85293714300997225</v>
      </c>
      <c r="J65" s="104"/>
    </row>
    <row r="66" spans="1:10" ht="45" x14ac:dyDescent="0.25">
      <c r="A66" s="356" t="str">
        <f>A54</f>
        <v>SB-PY6.  Promoción de la Permanencia y Graduación estudiantil en la Usco.</v>
      </c>
      <c r="B66" s="363">
        <f t="shared" si="11"/>
        <v>0</v>
      </c>
      <c r="C66" s="363">
        <f>F54</f>
        <v>0.75076951999999997</v>
      </c>
      <c r="D66" s="363">
        <f t="shared" si="12"/>
        <v>0.37538475999999998</v>
      </c>
      <c r="J66" s="104"/>
    </row>
    <row r="67" spans="1:10" x14ac:dyDescent="0.25">
      <c r="A67" s="341" t="s">
        <v>728</v>
      </c>
      <c r="B67" s="367">
        <f>AVERAGE(B61:B66)</f>
        <v>0.61904761904761907</v>
      </c>
      <c r="C67" s="367">
        <f t="shared" ref="C67:D67" si="13">AVERAGE(C61:C66)</f>
        <v>0.82320945391978062</v>
      </c>
      <c r="D67" s="367">
        <f t="shared" si="13"/>
        <v>0.72112853648369979</v>
      </c>
      <c r="J67" s="104"/>
    </row>
  </sheetData>
  <mergeCells count="20">
    <mergeCell ref="A51:A53"/>
    <mergeCell ref="B51:B53"/>
    <mergeCell ref="E51:E53"/>
    <mergeCell ref="F51:F53"/>
    <mergeCell ref="A55:D55"/>
    <mergeCell ref="A39:F39"/>
    <mergeCell ref="A41:A47"/>
    <mergeCell ref="B41:B47"/>
    <mergeCell ref="E41:E47"/>
    <mergeCell ref="F41:F47"/>
    <mergeCell ref="A22:D22"/>
    <mergeCell ref="A8:A14"/>
    <mergeCell ref="B8:B14"/>
    <mergeCell ref="E8:E14"/>
    <mergeCell ref="F8:F14"/>
    <mergeCell ref="A6:F6"/>
    <mergeCell ref="A18:A20"/>
    <mergeCell ref="B18:B20"/>
    <mergeCell ref="E18:E20"/>
    <mergeCell ref="F18:F20"/>
  </mergeCells>
  <conditionalFormatting sqref="D8:D21">
    <cfRule type="cellIs" dxfId="358" priority="167" operator="greaterThan">
      <formula>50%</formula>
    </cfRule>
    <cfRule type="cellIs" dxfId="357" priority="168" operator="between">
      <formula>37.1%</formula>
      <formula>50%</formula>
    </cfRule>
    <cfRule type="cellIs" dxfId="356" priority="169" operator="between">
      <formula>16%</formula>
      <formula>37%</formula>
    </cfRule>
    <cfRule type="cellIs" dxfId="355" priority="170" operator="lessThan">
      <formula>16%</formula>
    </cfRule>
  </conditionalFormatting>
  <conditionalFormatting sqref="B28:D33">
    <cfRule type="cellIs" dxfId="354" priority="27" operator="greaterThan">
      <formula>50%</formula>
    </cfRule>
    <cfRule type="cellIs" dxfId="353" priority="28" operator="between">
      <formula>37.1%</formula>
      <formula>50%</formula>
    </cfRule>
    <cfRule type="cellIs" dxfId="352" priority="29" operator="between">
      <formula>16%</formula>
      <formula>37%</formula>
    </cfRule>
    <cfRule type="cellIs" dxfId="351" priority="30" operator="lessThan">
      <formula>16%</formula>
    </cfRule>
  </conditionalFormatting>
  <conditionalFormatting sqref="B34:D34">
    <cfRule type="cellIs" dxfId="350" priority="23" operator="greaterThan">
      <formula>50%</formula>
    </cfRule>
    <cfRule type="cellIs" dxfId="349" priority="24" operator="between">
      <formula>37.1%</formula>
      <formula>50%</formula>
    </cfRule>
    <cfRule type="cellIs" dxfId="348" priority="25" operator="between">
      <formula>16%</formula>
      <formula>37%</formula>
    </cfRule>
    <cfRule type="cellIs" dxfId="347" priority="26" operator="lessThan">
      <formula>16%</formula>
    </cfRule>
  </conditionalFormatting>
  <conditionalFormatting sqref="D41:D54">
    <cfRule type="cellIs" dxfId="346" priority="6" operator="equal">
      <formula>0</formula>
    </cfRule>
  </conditionalFormatting>
  <conditionalFormatting sqref="D41:D54">
    <cfRule type="cellIs" dxfId="345" priority="7" operator="greaterThan">
      <formula>74.1%</formula>
    </cfRule>
    <cfRule type="cellIs" dxfId="344" priority="8" operator="between">
      <formula>56.1%</formula>
      <formula>74%</formula>
    </cfRule>
    <cfRule type="cellIs" dxfId="343" priority="9" operator="between">
      <formula>25.1%</formula>
      <formula>56%</formula>
    </cfRule>
    <cfRule type="cellIs" dxfId="342" priority="10" operator="lessThanOrEqual">
      <formula>25%</formula>
    </cfRule>
  </conditionalFormatting>
  <conditionalFormatting sqref="B61:D67">
    <cfRule type="cellIs" dxfId="341" priority="1" operator="equal">
      <formula>0</formula>
    </cfRule>
  </conditionalFormatting>
  <conditionalFormatting sqref="B61:D67">
    <cfRule type="cellIs" dxfId="340" priority="2" operator="greaterThan">
      <formula>74.1%</formula>
    </cfRule>
    <cfRule type="cellIs" dxfId="339" priority="3" operator="between">
      <formula>56.1%</formula>
      <formula>74%</formula>
    </cfRule>
    <cfRule type="cellIs" dxfId="338" priority="4" operator="between">
      <formula>25.1%</formula>
      <formula>56%</formula>
    </cfRule>
    <cfRule type="cellIs" dxfId="337" priority="5" operator="lessThanOrEqual">
      <formula>25%</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U90"/>
  <sheetViews>
    <sheetView topLeftCell="A77" workbookViewId="0">
      <selection activeCell="I54" sqref="I54"/>
    </sheetView>
  </sheetViews>
  <sheetFormatPr baseColWidth="10" defaultRowHeight="15" x14ac:dyDescent="0.25"/>
  <cols>
    <col min="1" max="1" width="33.85546875" customWidth="1"/>
    <col min="2" max="2" width="17.5703125" customWidth="1"/>
    <col min="4" max="4" width="13" customWidth="1"/>
    <col min="8" max="8" width="13.42578125" customWidth="1"/>
    <col min="18" max="18" width="12.7109375" bestFit="1" customWidth="1"/>
    <col min="19" max="19" width="16.28515625" customWidth="1"/>
  </cols>
  <sheetData>
    <row r="6" spans="1:21" ht="19.5" x14ac:dyDescent="0.3">
      <c r="A6" s="633" t="s">
        <v>498</v>
      </c>
      <c r="B6" s="633"/>
      <c r="C6" s="633"/>
      <c r="D6" s="633"/>
      <c r="E6" s="633"/>
      <c r="F6" s="633"/>
    </row>
    <row r="7" spans="1:21" ht="45" x14ac:dyDescent="0.25">
      <c r="A7" s="187" t="s">
        <v>489</v>
      </c>
      <c r="B7" s="189" t="s">
        <v>490</v>
      </c>
      <c r="C7" s="187" t="s">
        <v>491</v>
      </c>
      <c r="D7" s="189" t="s">
        <v>492</v>
      </c>
      <c r="E7" s="189" t="s">
        <v>493</v>
      </c>
      <c r="F7" s="189" t="s">
        <v>494</v>
      </c>
      <c r="J7" s="103"/>
      <c r="K7" s="103"/>
      <c r="L7" s="103" t="s">
        <v>710</v>
      </c>
      <c r="M7" s="103" t="s">
        <v>711</v>
      </c>
      <c r="N7" s="103" t="s">
        <v>712</v>
      </c>
      <c r="O7" s="103" t="s">
        <v>713</v>
      </c>
      <c r="P7" s="103" t="s">
        <v>714</v>
      </c>
      <c r="Q7" s="103"/>
      <c r="R7" s="190" t="s">
        <v>715</v>
      </c>
      <c r="S7" s="190" t="s">
        <v>716</v>
      </c>
      <c r="T7" s="103"/>
    </row>
    <row r="8" spans="1:21" ht="15.75" customHeight="1" x14ac:dyDescent="0.25">
      <c r="A8" s="541" t="str">
        <f>'S. PROY. SOCIAL '!B4</f>
        <v>SP-PY1.  Internacionalización Académica Curricular y Administrativa.</v>
      </c>
      <c r="B8" s="301">
        <v>0.15</v>
      </c>
      <c r="C8" s="1" t="s">
        <v>209</v>
      </c>
      <c r="D8" s="300">
        <f>'S. PROY. SOCIAL '!AH4</f>
        <v>0.1004566210045662</v>
      </c>
      <c r="E8" s="640">
        <f>B8*Q8</f>
        <v>7.4999999999999997E-2</v>
      </c>
      <c r="F8" s="634">
        <f>T8</f>
        <v>0.71230061325966854</v>
      </c>
      <c r="J8" s="104" t="str">
        <f>IF(D8&lt;16%,"Rojo",IF(D8&lt;37%,"Amarillo",IF(D8&lt;50.1%,"Verde","Azul")))</f>
        <v>Rojo</v>
      </c>
      <c r="K8" s="104" t="s">
        <v>704</v>
      </c>
      <c r="L8" s="104">
        <f>COUNTIF($J$8:$J$9,"Rojo")</f>
        <v>1</v>
      </c>
      <c r="M8" s="104">
        <f>COUNTIF($J$8:$J$9,"Amarillo")</f>
        <v>0</v>
      </c>
      <c r="N8" s="104">
        <f>COUNTIF($J$8:$J$9,"Verde")</f>
        <v>1</v>
      </c>
      <c r="O8" s="104">
        <f>COUNTIF($J$8:$J$9,"Azul")</f>
        <v>0</v>
      </c>
      <c r="P8" s="104">
        <f>SUM(L8:O8)</f>
        <v>2</v>
      </c>
      <c r="Q8" s="192">
        <f t="shared" ref="Q8:Q15" si="0">((100/P8)*SUM(M8:O8)/100)</f>
        <v>0.5</v>
      </c>
      <c r="R8" s="191">
        <f>'S. PROY. SOCIAL '!$W$4+'S. PROY. SOCIAL '!$W$6</f>
        <v>181000000</v>
      </c>
      <c r="S8" s="191">
        <f>'S. PROY. SOCIAL '!$X$4+'S. PROY. SOCIAL '!$X$6</f>
        <v>128926411</v>
      </c>
      <c r="T8" s="193">
        <f>IFERROR(S8/R8,0)</f>
        <v>0.71230061325966854</v>
      </c>
      <c r="U8" s="104" t="s">
        <v>704</v>
      </c>
    </row>
    <row r="9" spans="1:21" x14ac:dyDescent="0.25">
      <c r="A9" s="543"/>
      <c r="B9" s="295"/>
      <c r="C9" s="1" t="s">
        <v>212</v>
      </c>
      <c r="D9" s="300">
        <f>'S. PROY. SOCIAL '!AH6</f>
        <v>0.5</v>
      </c>
      <c r="E9" s="643"/>
      <c r="F9" s="636"/>
      <c r="J9" s="104" t="str">
        <f t="shared" ref="J9:J27" si="1">IF(D9&lt;16%,"Rojo",IF(D9&lt;37%,"Amarillo",IF(D9&lt;50.1%,"Verde","Azul")))</f>
        <v>Verde</v>
      </c>
      <c r="K9" s="104" t="s">
        <v>705</v>
      </c>
      <c r="L9" s="104">
        <f>COUNTIF($J$10,"Rojo")</f>
        <v>0</v>
      </c>
      <c r="M9" s="104">
        <f>COUNTIF($J$10,"Amarillo")</f>
        <v>0</v>
      </c>
      <c r="N9" s="104">
        <f>COUNTIF($J$10,"Verde")</f>
        <v>1</v>
      </c>
      <c r="O9" s="104">
        <f>COUNTIF($J$10,"Azul")</f>
        <v>0</v>
      </c>
      <c r="P9" s="104">
        <f t="shared" ref="P9:P14" si="2">SUM(L9:O9)</f>
        <v>1</v>
      </c>
      <c r="Q9" s="192">
        <f t="shared" si="0"/>
        <v>1</v>
      </c>
      <c r="R9" s="191">
        <f>'S. PROY. SOCIAL '!$W$7</f>
        <v>70000000</v>
      </c>
      <c r="S9" s="191">
        <f>'S. PROY. SOCIAL '!$X$7</f>
        <v>30768091</v>
      </c>
      <c r="T9" s="193">
        <f t="shared" ref="T9:T15" si="3">IFERROR(S9/R9,0)</f>
        <v>0.43954415714285716</v>
      </c>
      <c r="U9" s="104" t="s">
        <v>705</v>
      </c>
    </row>
    <row r="10" spans="1:21" x14ac:dyDescent="0.25">
      <c r="A10" s="2" t="str">
        <f>'S. PROY. SOCIAL '!B7</f>
        <v>SP-PY2.  Regionalización de la USCO</v>
      </c>
      <c r="B10" s="121">
        <v>0.15</v>
      </c>
      <c r="C10" s="1" t="s">
        <v>220</v>
      </c>
      <c r="D10" s="300">
        <f>'S. PROY. SOCIAL '!AH7</f>
        <v>0.5</v>
      </c>
      <c r="E10" s="204">
        <f>B10*Q9</f>
        <v>0.15</v>
      </c>
      <c r="F10" s="194">
        <f>T9</f>
        <v>0.43954415714285716</v>
      </c>
      <c r="J10" s="104" t="str">
        <f t="shared" si="1"/>
        <v>Verde</v>
      </c>
      <c r="K10" s="104" t="s">
        <v>706</v>
      </c>
      <c r="L10" s="104">
        <f>COUNTIF($J$11:$J$16,"Rojo")</f>
        <v>3</v>
      </c>
      <c r="M10" s="104">
        <f>COUNTIF($J$11:$J$16,"Amarillo")</f>
        <v>0</v>
      </c>
      <c r="N10" s="104">
        <f>COUNTIF($J$11:$J$16,"Verde")</f>
        <v>1</v>
      </c>
      <c r="O10" s="104">
        <f>COUNTIF($J$11:$J$16,"Azul")</f>
        <v>2</v>
      </c>
      <c r="P10" s="104">
        <f t="shared" si="2"/>
        <v>6</v>
      </c>
      <c r="Q10" s="192">
        <f t="shared" si="0"/>
        <v>0.5</v>
      </c>
      <c r="R10" s="191">
        <f>'S. PROY. SOCIAL '!$W$8+'S. PROY. SOCIAL '!$W$9+'S. PROY. SOCIAL '!$W$10+'S. PROY. SOCIAL '!$W$11+'S. PROY. SOCIAL '!$W$12+'S. PROY. SOCIAL '!$W$13</f>
        <v>1803595852</v>
      </c>
      <c r="S10" s="191">
        <f>'S. PROY. SOCIAL '!$X$8+'S. PROY. SOCIAL '!$X$9+'S. PROY. SOCIAL '!$X$10+'S. PROY. SOCIAL '!$X$11+'S. PROY. SOCIAL '!$X$12+'S. PROY. SOCIAL '!$X$13</f>
        <v>1096162088</v>
      </c>
      <c r="T10" s="193">
        <f t="shared" si="3"/>
        <v>0.60776480872057359</v>
      </c>
      <c r="U10" s="104" t="s">
        <v>706</v>
      </c>
    </row>
    <row r="11" spans="1:21" ht="14.25" customHeight="1" x14ac:dyDescent="0.25">
      <c r="A11" s="653" t="str">
        <f>'S. PROY. SOCIAL '!B8</f>
        <v>SP-PY3. Reformulación y fortalecimiento de las modalidades y formas de Proyección Social.</v>
      </c>
      <c r="B11" s="652">
        <v>0.2</v>
      </c>
      <c r="C11" s="1" t="s">
        <v>224</v>
      </c>
      <c r="D11" s="300">
        <f>'S. PROY. SOCIAL '!AH8</f>
        <v>0</v>
      </c>
      <c r="E11" s="638">
        <f>B11*Q10</f>
        <v>0.1</v>
      </c>
      <c r="F11" s="647">
        <f>T10</f>
        <v>0.60776480872057359</v>
      </c>
      <c r="J11" s="104" t="str">
        <f t="shared" si="1"/>
        <v>Rojo</v>
      </c>
      <c r="K11" s="104" t="s">
        <v>707</v>
      </c>
      <c r="L11" s="104">
        <f>COUNTIF($J$11,"Rojo")</f>
        <v>1</v>
      </c>
      <c r="M11" s="104">
        <f>COUNTIF($J$17,"Amarillo")</f>
        <v>0</v>
      </c>
      <c r="N11" s="104">
        <f>COUNTIF($J$17,"Verde")</f>
        <v>0</v>
      </c>
      <c r="O11" s="104">
        <f>COUNTIF($J$17,"Azul")</f>
        <v>1</v>
      </c>
      <c r="P11" s="104">
        <f t="shared" si="2"/>
        <v>2</v>
      </c>
      <c r="Q11" s="192">
        <f t="shared" si="0"/>
        <v>0.5</v>
      </c>
      <c r="R11" s="191">
        <f>'S. PROY. SOCIAL '!$W$16</f>
        <v>30000000</v>
      </c>
      <c r="S11" s="191">
        <f>'S. PROY. SOCIAL '!$X$16</f>
        <v>742630</v>
      </c>
      <c r="T11" s="193">
        <f t="shared" si="3"/>
        <v>2.4754333333333333E-2</v>
      </c>
      <c r="U11" s="104" t="s">
        <v>707</v>
      </c>
    </row>
    <row r="12" spans="1:21" ht="18.75" customHeight="1" x14ac:dyDescent="0.25">
      <c r="A12" s="653"/>
      <c r="B12" s="652"/>
      <c r="C12" s="1" t="s">
        <v>227</v>
      </c>
      <c r="D12" s="300">
        <f>'S. PROY. SOCIAL '!AH9</f>
        <v>0.05</v>
      </c>
      <c r="E12" s="638"/>
      <c r="F12" s="647"/>
      <c r="J12" s="104" t="str">
        <f t="shared" si="1"/>
        <v>Rojo</v>
      </c>
      <c r="K12" s="104" t="s">
        <v>708</v>
      </c>
      <c r="L12" s="104">
        <f>COUNTIF($J$18:$J$20,"Rojo")</f>
        <v>1</v>
      </c>
      <c r="M12" s="104">
        <f>COUNTIF($J$18:$J$20,"Amarillo")</f>
        <v>1</v>
      </c>
      <c r="N12" s="104">
        <f>COUNTIF($J$18:$J$20,"Verde")</f>
        <v>0</v>
      </c>
      <c r="O12" s="104">
        <f>COUNTIF($J$18:$J$20,"Azul")</f>
        <v>1</v>
      </c>
      <c r="P12" s="104">
        <f t="shared" si="2"/>
        <v>3</v>
      </c>
      <c r="Q12" s="192">
        <f t="shared" si="0"/>
        <v>0.66666666666666674</v>
      </c>
      <c r="R12" s="191">
        <f>'S. PROY. SOCIAL '!$W$22+'S. PROY. SOCIAL '!$W$23+'S. PROY. SOCIAL '!$W$24</f>
        <v>24826876</v>
      </c>
      <c r="S12" s="191">
        <f>'S. PROY. SOCIAL '!$X$22+'S. PROY. SOCIAL '!$X$23+'S. PROY. SOCIAL '!$X$24</f>
        <v>13638046</v>
      </c>
      <c r="T12" s="193">
        <f t="shared" si="3"/>
        <v>0.54932589988365832</v>
      </c>
      <c r="U12" s="104" t="s">
        <v>708</v>
      </c>
    </row>
    <row r="13" spans="1:21" ht="27" customHeight="1" x14ac:dyDescent="0.25">
      <c r="A13" s="653"/>
      <c r="B13" s="652"/>
      <c r="C13" s="1" t="s">
        <v>229</v>
      </c>
      <c r="D13" s="300">
        <f>'S. PROY. SOCIAL '!AH10</f>
        <v>0.88372093023255816</v>
      </c>
      <c r="E13" s="638"/>
      <c r="F13" s="647"/>
      <c r="J13" s="104" t="str">
        <f t="shared" si="1"/>
        <v>Azul</v>
      </c>
      <c r="K13" s="104" t="s">
        <v>717</v>
      </c>
      <c r="L13" s="104">
        <f>COUNTIF($J$21,"Rojo")</f>
        <v>1</v>
      </c>
      <c r="M13" s="104">
        <f>COUNTIF($J$21,"Amarillo")</f>
        <v>0</v>
      </c>
      <c r="N13" s="104">
        <f>COUNTIF($J$21,"Verde")</f>
        <v>0</v>
      </c>
      <c r="O13" s="104">
        <f>COUNTIF($J$21,"Azul")</f>
        <v>0</v>
      </c>
      <c r="P13" s="104">
        <f t="shared" si="2"/>
        <v>1</v>
      </c>
      <c r="Q13" s="192">
        <f t="shared" si="0"/>
        <v>0</v>
      </c>
      <c r="R13" s="191">
        <f>'S. PROY. SOCIAL '!$W$25</f>
        <v>20000000</v>
      </c>
      <c r="S13" s="191">
        <f>'S. PROY. SOCIAL '!$X$25</f>
        <v>19993101</v>
      </c>
      <c r="T13" s="193">
        <f t="shared" si="3"/>
        <v>0.99965504999999999</v>
      </c>
      <c r="U13" s="104" t="s">
        <v>717</v>
      </c>
    </row>
    <row r="14" spans="1:21" x14ac:dyDescent="0.25">
      <c r="A14" s="653"/>
      <c r="B14" s="652"/>
      <c r="C14" s="1" t="s">
        <v>233</v>
      </c>
      <c r="D14" s="300">
        <f>'S. PROY. SOCIAL '!AH11</f>
        <v>0.63157894736842102</v>
      </c>
      <c r="E14" s="638"/>
      <c r="F14" s="647"/>
      <c r="J14" s="104" t="str">
        <f t="shared" si="1"/>
        <v>Azul</v>
      </c>
      <c r="K14" s="104" t="s">
        <v>709</v>
      </c>
      <c r="L14" s="104">
        <f>COUNTIF($J$22:$J$23,"Rojo")</f>
        <v>1</v>
      </c>
      <c r="M14" s="104">
        <f>COUNTIF($J$22:$J$23,"Amarillo")</f>
        <v>1</v>
      </c>
      <c r="N14" s="104">
        <f>COUNTIF($J$22:$J$23,"Verde")</f>
        <v>0</v>
      </c>
      <c r="O14" s="104">
        <f>COUNTIF($J$22:$J$23,"Azul")</f>
        <v>0</v>
      </c>
      <c r="P14" s="104">
        <f t="shared" si="2"/>
        <v>2</v>
      </c>
      <c r="Q14" s="192">
        <f t="shared" si="0"/>
        <v>0.5</v>
      </c>
      <c r="R14" s="191">
        <f>'S. PROY. SOCIAL '!$W$29+'S. PROY. SOCIAL '!$W$30</f>
        <v>10000000</v>
      </c>
      <c r="S14" s="191">
        <f>'S. PROY. SOCIAL '!$X$29+'S. PROY. SOCIAL '!$X$30</f>
        <v>5000000</v>
      </c>
      <c r="T14" s="193">
        <f t="shared" si="3"/>
        <v>0.5</v>
      </c>
      <c r="U14" s="104" t="s">
        <v>709</v>
      </c>
    </row>
    <row r="15" spans="1:21" ht="15.75" customHeight="1" x14ac:dyDescent="0.25">
      <c r="A15" s="653"/>
      <c r="B15" s="652"/>
      <c r="C15" s="1" t="s">
        <v>235</v>
      </c>
      <c r="D15" s="300">
        <f>'S. PROY. SOCIAL '!AH12</f>
        <v>0</v>
      </c>
      <c r="E15" s="638"/>
      <c r="F15" s="647"/>
      <c r="J15" s="104" t="str">
        <f t="shared" si="1"/>
        <v>Rojo</v>
      </c>
      <c r="K15" s="104" t="s">
        <v>721</v>
      </c>
      <c r="L15" s="104">
        <f>COUNTIF($J$24:$J$25,"Rojo")</f>
        <v>0</v>
      </c>
      <c r="M15" s="104">
        <f>COUNTIF($J$24:$J$25,"Amarillo")</f>
        <v>0</v>
      </c>
      <c r="N15" s="104">
        <f>COUNTIF($J$24:$J$25,"Verde")</f>
        <v>0</v>
      </c>
      <c r="O15" s="104">
        <f>COUNTIF($J$24:$J$25,"Azul")</f>
        <v>2</v>
      </c>
      <c r="P15" s="104">
        <f t="shared" ref="P15" si="4">SUM(L15:O15)</f>
        <v>2</v>
      </c>
      <c r="Q15" s="192">
        <f t="shared" si="0"/>
        <v>1</v>
      </c>
      <c r="R15" s="191">
        <f>'S. PROY. SOCIAL '!W33+'S. PROY. SOCIAL '!W34+'S. PROY. SOCIAL '!W35</f>
        <v>292967589</v>
      </c>
      <c r="S15" s="191">
        <f>'S. PROY. SOCIAL '!X33+'S. PROY. SOCIAL '!X34+'S. PROY. SOCIAL '!X35</f>
        <v>201949815</v>
      </c>
      <c r="T15" s="193">
        <f t="shared" si="3"/>
        <v>0.68932476691133227</v>
      </c>
      <c r="U15" s="104" t="s">
        <v>721</v>
      </c>
    </row>
    <row r="16" spans="1:21" ht="15.75" customHeight="1" x14ac:dyDescent="0.25">
      <c r="A16" s="653"/>
      <c r="B16" s="652"/>
      <c r="C16" s="1" t="s">
        <v>237</v>
      </c>
      <c r="D16" s="300">
        <f>'S. PROY. SOCIAL '!AH13</f>
        <v>0.46</v>
      </c>
      <c r="E16" s="638"/>
      <c r="F16" s="647"/>
      <c r="J16" s="104" t="str">
        <f t="shared" si="1"/>
        <v>Verde</v>
      </c>
      <c r="K16" s="104"/>
      <c r="L16" s="104"/>
      <c r="M16" s="104"/>
      <c r="N16" s="104"/>
      <c r="O16" s="104"/>
      <c r="P16" s="104"/>
      <c r="Q16" s="104"/>
      <c r="R16" s="104"/>
      <c r="S16" s="104"/>
      <c r="T16" s="104"/>
    </row>
    <row r="17" spans="1:20" ht="15.75" customHeight="1" x14ac:dyDescent="0.25">
      <c r="A17" s="205" t="str">
        <f>'S. PROY. SOCIAL '!B16</f>
        <v>SP-PY4.  Estructuración y desarrollo Unidades de Atención Especializada y de Emprendimiento e Innovación Institucional.</v>
      </c>
      <c r="B17" s="121">
        <v>0.05</v>
      </c>
      <c r="C17" s="1" t="s">
        <v>245</v>
      </c>
      <c r="D17" s="300">
        <f>'S. PROY. SOCIAL '!AH16</f>
        <v>1.92</v>
      </c>
      <c r="E17" s="204">
        <f>B17*Q11</f>
        <v>2.5000000000000001E-2</v>
      </c>
      <c r="F17" s="194">
        <f>T11</f>
        <v>2.4754333333333333E-2</v>
      </c>
      <c r="J17" s="104" t="str">
        <f t="shared" si="1"/>
        <v>Azul</v>
      </c>
      <c r="K17" s="104"/>
      <c r="L17" s="104"/>
      <c r="M17" s="104"/>
      <c r="N17" s="104"/>
      <c r="O17" s="104"/>
      <c r="P17" s="104"/>
      <c r="Q17" s="104"/>
      <c r="R17" s="104"/>
      <c r="S17" s="104"/>
      <c r="T17" s="104"/>
    </row>
    <row r="18" spans="1:20" ht="20.25" customHeight="1" x14ac:dyDescent="0.25">
      <c r="A18" s="655" t="str">
        <f>'S. PROY. SOCIAL '!B22</f>
        <v>SP-PY5.  Consolidación de la Alianza Estratégica Estado-Universidad-Empresa-Ciudadanía.</v>
      </c>
      <c r="B18" s="652">
        <v>0.15</v>
      </c>
      <c r="C18" s="1" t="s">
        <v>248</v>
      </c>
      <c r="D18" s="300">
        <f>'S. PROY. SOCIAL '!AH22</f>
        <v>4</v>
      </c>
      <c r="E18" s="638">
        <f>B18*Q12</f>
        <v>0.1</v>
      </c>
      <c r="F18" s="647">
        <f>T12</f>
        <v>0.54932589988365832</v>
      </c>
      <c r="J18" s="104" t="str">
        <f t="shared" si="1"/>
        <v>Azul</v>
      </c>
      <c r="K18" s="104"/>
      <c r="L18" s="104"/>
      <c r="M18" s="104"/>
      <c r="N18" s="104"/>
      <c r="O18" s="104"/>
      <c r="P18" s="104"/>
      <c r="Q18" s="104"/>
      <c r="R18" s="104"/>
      <c r="S18" s="104"/>
      <c r="T18" s="104"/>
    </row>
    <row r="19" spans="1:20" ht="20.25" customHeight="1" x14ac:dyDescent="0.25">
      <c r="A19" s="655"/>
      <c r="B19" s="627"/>
      <c r="C19" s="1" t="s">
        <v>250</v>
      </c>
      <c r="D19" s="300">
        <f>'S. PROY. SOCIAL '!AH23</f>
        <v>0.3</v>
      </c>
      <c r="E19" s="638"/>
      <c r="F19" s="470"/>
      <c r="J19" s="104" t="str">
        <f t="shared" si="1"/>
        <v>Amarillo</v>
      </c>
      <c r="K19" s="104"/>
      <c r="L19" s="104"/>
      <c r="M19" s="104"/>
      <c r="N19" s="104"/>
      <c r="O19" s="104"/>
      <c r="P19" s="104"/>
      <c r="Q19" s="104"/>
      <c r="R19" s="104"/>
      <c r="S19" s="104"/>
      <c r="T19" s="104"/>
    </row>
    <row r="20" spans="1:20" ht="20.25" customHeight="1" x14ac:dyDescent="0.25">
      <c r="A20" s="655"/>
      <c r="B20" s="627"/>
      <c r="C20" s="1" t="s">
        <v>414</v>
      </c>
      <c r="D20" s="300">
        <f>'S. PROY. SOCIAL '!AH24</f>
        <v>0</v>
      </c>
      <c r="E20" s="638"/>
      <c r="F20" s="470"/>
      <c r="J20" s="104" t="str">
        <f t="shared" si="1"/>
        <v>Rojo</v>
      </c>
      <c r="K20" s="104"/>
      <c r="L20" s="104"/>
      <c r="M20" s="104"/>
      <c r="N20" s="104"/>
      <c r="O20" s="104"/>
      <c r="P20" s="104"/>
      <c r="Q20" s="104"/>
      <c r="R20" s="104"/>
      <c r="S20" s="104"/>
      <c r="T20" s="104"/>
    </row>
    <row r="21" spans="1:20" ht="15" customHeight="1" x14ac:dyDescent="0.25">
      <c r="A21" s="118" t="str">
        <f>'S. PROY. SOCIAL '!B25</f>
        <v>SP-PY6. Estructuración y Desarrollo de la Agenda Social Regional.</v>
      </c>
      <c r="B21" s="121">
        <v>0.1</v>
      </c>
      <c r="C21" s="1" t="s">
        <v>253</v>
      </c>
      <c r="D21" s="300">
        <f>'S. PROY. SOCIAL '!AH25</f>
        <v>0</v>
      </c>
      <c r="E21" s="95">
        <f>B21*Q13</f>
        <v>0</v>
      </c>
      <c r="F21" s="194">
        <f>T13</f>
        <v>0.99965504999999999</v>
      </c>
      <c r="J21" s="104" t="str">
        <f t="shared" si="1"/>
        <v>Rojo</v>
      </c>
      <c r="K21" s="104"/>
      <c r="L21" s="104"/>
      <c r="M21" s="104"/>
      <c r="N21" s="104"/>
      <c r="O21" s="104"/>
      <c r="P21" s="104"/>
      <c r="Q21" s="104"/>
      <c r="R21" s="104"/>
      <c r="S21" s="104"/>
      <c r="T21" s="104"/>
    </row>
    <row r="22" spans="1:20" ht="30" customHeight="1" x14ac:dyDescent="0.25">
      <c r="A22" s="610" t="str">
        <f>'S. PROY. SOCIAL '!B29</f>
        <v>SP-PY7.  Articulación de la Educación Superior con la Educación formal, el trabajo y el desarrollo humano.</v>
      </c>
      <c r="B22" s="652">
        <v>0.1</v>
      </c>
      <c r="C22" s="1" t="s">
        <v>261</v>
      </c>
      <c r="D22" s="300">
        <f>'S. PROY. SOCIAL '!AH29</f>
        <v>0.3</v>
      </c>
      <c r="E22" s="654">
        <f>B22*Q14</f>
        <v>0.05</v>
      </c>
      <c r="F22" s="647">
        <f>T14</f>
        <v>0.5</v>
      </c>
      <c r="J22" s="104" t="str">
        <f t="shared" si="1"/>
        <v>Amarillo</v>
      </c>
      <c r="K22" s="104"/>
      <c r="L22" s="104"/>
      <c r="M22" s="104"/>
      <c r="N22" s="104"/>
      <c r="O22" s="104"/>
      <c r="P22" s="104"/>
      <c r="Q22" s="104"/>
      <c r="R22" s="104"/>
      <c r="S22" s="104"/>
      <c r="T22" s="104"/>
    </row>
    <row r="23" spans="1:20" ht="21" customHeight="1" x14ac:dyDescent="0.25">
      <c r="A23" s="610"/>
      <c r="B23" s="627"/>
      <c r="C23" s="1" t="s">
        <v>263</v>
      </c>
      <c r="D23" s="300">
        <f>'S. PROY. SOCIAL '!AH30</f>
        <v>0</v>
      </c>
      <c r="E23" s="654"/>
      <c r="F23" s="470"/>
      <c r="J23" s="104" t="str">
        <f t="shared" si="1"/>
        <v>Rojo</v>
      </c>
      <c r="K23" s="104"/>
      <c r="L23" s="104"/>
      <c r="M23" s="104"/>
      <c r="N23" s="104"/>
      <c r="O23" s="104"/>
      <c r="P23" s="104"/>
      <c r="Q23" s="104"/>
      <c r="R23" s="104"/>
      <c r="S23" s="104"/>
      <c r="T23" s="104"/>
    </row>
    <row r="24" spans="1:20" ht="25.5" customHeight="1" x14ac:dyDescent="0.25">
      <c r="A24" s="655" t="s">
        <v>180</v>
      </c>
      <c r="B24" s="652">
        <v>0.1</v>
      </c>
      <c r="C24" s="1" t="s">
        <v>270</v>
      </c>
      <c r="D24" s="300">
        <f>'S. PROY. SOCIAL '!AH33</f>
        <v>1</v>
      </c>
      <c r="E24" s="638">
        <f>B24*Q15</f>
        <v>0.1</v>
      </c>
      <c r="F24" s="647">
        <f>T15</f>
        <v>0.68932476691133227</v>
      </c>
      <c r="J24" s="104" t="str">
        <f t="shared" si="1"/>
        <v>Azul</v>
      </c>
      <c r="K24" s="104"/>
      <c r="L24" s="104"/>
      <c r="M24" s="104"/>
      <c r="N24" s="104"/>
      <c r="O24" s="104"/>
      <c r="P24" s="104"/>
      <c r="Q24" s="104"/>
      <c r="R24" s="104"/>
      <c r="S24" s="104"/>
      <c r="T24" s="104"/>
    </row>
    <row r="25" spans="1:20" ht="15" customHeight="1" x14ac:dyDescent="0.25">
      <c r="A25" s="655"/>
      <c r="B25" s="652"/>
      <c r="C25" s="1" t="s">
        <v>272</v>
      </c>
      <c r="D25" s="300">
        <f>'S. PROY. SOCIAL '!AH34</f>
        <v>0.8</v>
      </c>
      <c r="E25" s="638"/>
      <c r="F25" s="647"/>
      <c r="J25" s="104" t="str">
        <f t="shared" si="1"/>
        <v>Azul</v>
      </c>
      <c r="K25" s="104"/>
      <c r="L25" s="104"/>
      <c r="M25" s="104"/>
      <c r="N25" s="104"/>
      <c r="O25" s="104"/>
      <c r="P25" s="104"/>
      <c r="Q25" s="104"/>
      <c r="R25" s="104"/>
      <c r="S25" s="104"/>
      <c r="T25" s="104"/>
    </row>
    <row r="26" spans="1:20" x14ac:dyDescent="0.25">
      <c r="A26" s="655"/>
      <c r="B26" s="652"/>
      <c r="C26" s="1" t="s">
        <v>275</v>
      </c>
      <c r="D26" s="300">
        <f>'S. PROY. SOCIAL '!AH35</f>
        <v>0.6</v>
      </c>
      <c r="E26" s="638"/>
      <c r="F26" s="647"/>
      <c r="J26" s="104" t="str">
        <f t="shared" si="1"/>
        <v>Azul</v>
      </c>
      <c r="K26" s="104"/>
      <c r="L26" s="104"/>
      <c r="M26" s="104"/>
      <c r="N26" s="104"/>
      <c r="O26" s="104"/>
      <c r="P26" s="104"/>
      <c r="Q26" s="104"/>
      <c r="R26" s="104"/>
      <c r="S26" s="104"/>
      <c r="T26" s="104"/>
    </row>
    <row r="27" spans="1:20" ht="15" customHeight="1" x14ac:dyDescent="0.25">
      <c r="A27" s="648" t="s">
        <v>499</v>
      </c>
      <c r="B27" s="648"/>
      <c r="C27" s="648"/>
      <c r="D27" s="648"/>
      <c r="E27" s="201">
        <f>(SUM(E8:E26)/8)</f>
        <v>7.4999999999999997E-2</v>
      </c>
      <c r="F27" s="195">
        <f>SUM(F8:F26)/8</f>
        <v>0.56533370365642788</v>
      </c>
      <c r="J27" s="104" t="str">
        <f t="shared" si="1"/>
        <v>Rojo</v>
      </c>
    </row>
    <row r="28" spans="1:20" ht="15" customHeight="1" x14ac:dyDescent="0.25">
      <c r="J28" s="104"/>
    </row>
    <row r="29" spans="1:20" ht="30" x14ac:dyDescent="0.25">
      <c r="A29" s="213" t="s">
        <v>489</v>
      </c>
      <c r="B29" s="213" t="s">
        <v>729</v>
      </c>
      <c r="C29" s="213" t="s">
        <v>731</v>
      </c>
      <c r="D29" s="213" t="s">
        <v>7</v>
      </c>
      <c r="J29" s="104"/>
    </row>
    <row r="30" spans="1:20" ht="45" x14ac:dyDescent="0.25">
      <c r="A30" s="312" t="str">
        <f>A8</f>
        <v>SP-PY1.  Internacionalización Académica Curricular y Administrativa.</v>
      </c>
      <c r="B30" s="220">
        <f t="shared" ref="B30:B37" si="5">Q8</f>
        <v>0.5</v>
      </c>
      <c r="C30" s="220">
        <f>F8</f>
        <v>0.71230061325966854</v>
      </c>
      <c r="D30" s="220">
        <f>(B30+C30)/2</f>
        <v>0.60615030662983427</v>
      </c>
      <c r="J30" s="104"/>
    </row>
    <row r="31" spans="1:20" x14ac:dyDescent="0.25">
      <c r="A31" s="312" t="str">
        <f>A10</f>
        <v>SP-PY2.  Regionalización de la USCO</v>
      </c>
      <c r="B31" s="300">
        <f t="shared" si="5"/>
        <v>1</v>
      </c>
      <c r="C31" s="220">
        <f>F10</f>
        <v>0.43954415714285716</v>
      </c>
      <c r="D31" s="220">
        <f t="shared" ref="D31:D37" si="6">(B31+C31)/2</f>
        <v>0.71977207857142855</v>
      </c>
      <c r="J31" s="104"/>
    </row>
    <row r="32" spans="1:20" ht="45" x14ac:dyDescent="0.25">
      <c r="A32" s="312" t="str">
        <f>A11</f>
        <v>SP-PY3. Reformulación y fortalecimiento de las modalidades y formas de Proyección Social.</v>
      </c>
      <c r="B32" s="300">
        <f t="shared" si="5"/>
        <v>0.5</v>
      </c>
      <c r="C32" s="220">
        <f>F11</f>
        <v>0.60776480872057359</v>
      </c>
      <c r="D32" s="220">
        <f t="shared" si="6"/>
        <v>0.5538824043602868</v>
      </c>
      <c r="J32" s="104"/>
    </row>
    <row r="33" spans="1:10" ht="60" x14ac:dyDescent="0.25">
      <c r="A33" s="312" t="str">
        <f>A17</f>
        <v>SP-PY4.  Estructuración y desarrollo Unidades de Atención Especializada y de Emprendimiento e Innovación Institucional.</v>
      </c>
      <c r="B33" s="300">
        <f t="shared" si="5"/>
        <v>0.5</v>
      </c>
      <c r="C33" s="220">
        <f>F17</f>
        <v>2.4754333333333333E-2</v>
      </c>
      <c r="D33" s="220">
        <f t="shared" si="6"/>
        <v>0.26237716666666666</v>
      </c>
      <c r="J33" s="104"/>
    </row>
    <row r="34" spans="1:10" ht="45" x14ac:dyDescent="0.25">
      <c r="A34" s="312" t="str">
        <f>A18</f>
        <v>SP-PY5.  Consolidación de la Alianza Estratégica Estado-Universidad-Empresa-Ciudadanía.</v>
      </c>
      <c r="B34" s="300">
        <f t="shared" si="5"/>
        <v>0.66666666666666674</v>
      </c>
      <c r="C34" s="220">
        <f>F18</f>
        <v>0.54932589988365832</v>
      </c>
      <c r="D34" s="220">
        <f t="shared" si="6"/>
        <v>0.60799628327516253</v>
      </c>
      <c r="J34" s="104"/>
    </row>
    <row r="35" spans="1:10" ht="30" x14ac:dyDescent="0.25">
      <c r="A35" s="312" t="str">
        <f>A21</f>
        <v>SP-PY6. Estructuración y Desarrollo de la Agenda Social Regional.</v>
      </c>
      <c r="B35" s="300">
        <f t="shared" si="5"/>
        <v>0</v>
      </c>
      <c r="C35" s="220">
        <f>F21</f>
        <v>0.99965504999999999</v>
      </c>
      <c r="D35" s="220">
        <f t="shared" si="6"/>
        <v>0.49982752499999999</v>
      </c>
      <c r="J35" s="104"/>
    </row>
    <row r="36" spans="1:10" ht="45" x14ac:dyDescent="0.25">
      <c r="A36" s="312" t="str">
        <f>A22</f>
        <v>SP-PY7.  Articulación de la Educación Superior con la Educación formal, el trabajo y el desarrollo humano.</v>
      </c>
      <c r="B36" s="300">
        <f t="shared" si="5"/>
        <v>0.5</v>
      </c>
      <c r="C36" s="220">
        <f>F22</f>
        <v>0.5</v>
      </c>
      <c r="D36" s="220">
        <f t="shared" si="6"/>
        <v>0.5</v>
      </c>
      <c r="J36" s="104"/>
    </row>
    <row r="37" spans="1:10" ht="60" x14ac:dyDescent="0.25">
      <c r="A37" s="312" t="str">
        <f>A24</f>
        <v>SI-PY8.  Creación y Fortalecimiento de Centros, Institutos de investigación, desarrollo y vigilancia Tecnológica e Innovación.</v>
      </c>
      <c r="B37" s="300">
        <f t="shared" si="5"/>
        <v>1</v>
      </c>
      <c r="C37" s="220">
        <f>F24</f>
        <v>0.68932476691133227</v>
      </c>
      <c r="D37" s="220">
        <f t="shared" si="6"/>
        <v>0.84466238345566613</v>
      </c>
      <c r="J37" s="104"/>
    </row>
    <row r="38" spans="1:10" x14ac:dyDescent="0.25">
      <c r="A38" s="215" t="s">
        <v>728</v>
      </c>
      <c r="B38" s="216">
        <f>AVERAGE(B30:B37)</f>
        <v>0.58333333333333337</v>
      </c>
      <c r="C38" s="216">
        <f>AVERAGE(C30:C37)</f>
        <v>0.56533370365642788</v>
      </c>
      <c r="D38" s="216">
        <f>AVERAGE(D30:D37)</f>
        <v>0.57433351849488057</v>
      </c>
      <c r="J38" s="104"/>
    </row>
    <row r="39" spans="1:10" x14ac:dyDescent="0.25">
      <c r="J39" s="104"/>
    </row>
    <row r="40" spans="1:10" x14ac:dyDescent="0.25">
      <c r="J40" s="104"/>
    </row>
    <row r="41" spans="1:10" ht="60" customHeight="1" x14ac:dyDescent="0.25">
      <c r="J41" s="104"/>
    </row>
    <row r="42" spans="1:10" x14ac:dyDescent="0.25">
      <c r="J42" s="104"/>
    </row>
    <row r="43" spans="1:10" ht="15" customHeight="1" x14ac:dyDescent="0.25">
      <c r="J43" s="104"/>
    </row>
    <row r="44" spans="1:10" x14ac:dyDescent="0.25">
      <c r="J44" s="104"/>
    </row>
    <row r="45" spans="1:10" ht="15" customHeight="1" x14ac:dyDescent="0.25">
      <c r="J45" s="104"/>
    </row>
    <row r="46" spans="1:10" x14ac:dyDescent="0.25">
      <c r="J46" s="104"/>
    </row>
    <row r="47" spans="1:10" ht="15" customHeight="1" x14ac:dyDescent="0.25">
      <c r="J47" s="104"/>
    </row>
    <row r="48" spans="1:10" x14ac:dyDescent="0.25">
      <c r="J48" s="104"/>
    </row>
    <row r="49" spans="1:21" x14ac:dyDescent="0.25">
      <c r="J49" s="104"/>
    </row>
    <row r="50" spans="1:21" x14ac:dyDescent="0.25">
      <c r="J50" s="104"/>
    </row>
    <row r="51" spans="1:21" ht="15" customHeight="1" x14ac:dyDescent="0.25">
      <c r="J51" s="104"/>
    </row>
    <row r="52" spans="1:21" x14ac:dyDescent="0.25">
      <c r="J52" s="104"/>
    </row>
    <row r="53" spans="1:21" ht="15" customHeight="1" x14ac:dyDescent="0.25">
      <c r="J53" s="104"/>
    </row>
    <row r="54" spans="1:21" x14ac:dyDescent="0.25">
      <c r="A54" s="217"/>
      <c r="B54" s="217"/>
      <c r="C54" s="217"/>
      <c r="D54" s="217"/>
      <c r="E54" s="218"/>
      <c r="J54" s="104"/>
    </row>
    <row r="55" spans="1:21" ht="15" customHeight="1" x14ac:dyDescent="0.25">
      <c r="J55" s="104"/>
    </row>
    <row r="57" spans="1:21" ht="15" customHeight="1" x14ac:dyDescent="0.25"/>
    <row r="58" spans="1:21" ht="19.5" x14ac:dyDescent="0.3">
      <c r="A58" s="633" t="s">
        <v>498</v>
      </c>
      <c r="B58" s="633"/>
      <c r="C58" s="633"/>
      <c r="D58" s="633"/>
      <c r="E58" s="633"/>
      <c r="F58" s="633"/>
    </row>
    <row r="59" spans="1:21" ht="45" x14ac:dyDescent="0.25">
      <c r="A59" s="355" t="s">
        <v>489</v>
      </c>
      <c r="B59" s="342" t="s">
        <v>490</v>
      </c>
      <c r="C59" s="355" t="s">
        <v>491</v>
      </c>
      <c r="D59" s="342" t="s">
        <v>492</v>
      </c>
      <c r="E59" s="342" t="s">
        <v>493</v>
      </c>
      <c r="F59" s="342" t="s">
        <v>494</v>
      </c>
      <c r="J59" s="103"/>
      <c r="K59" s="103"/>
      <c r="L59" s="103" t="s">
        <v>710</v>
      </c>
      <c r="M59" s="103" t="s">
        <v>711</v>
      </c>
      <c r="N59" s="103" t="s">
        <v>712</v>
      </c>
      <c r="O59" s="103" t="s">
        <v>713</v>
      </c>
      <c r="P59" s="103" t="s">
        <v>714</v>
      </c>
      <c r="Q59" s="103"/>
      <c r="R59" s="190" t="s">
        <v>715</v>
      </c>
      <c r="S59" s="190" t="s">
        <v>716</v>
      </c>
      <c r="T59" s="103"/>
    </row>
    <row r="60" spans="1:21" x14ac:dyDescent="0.25">
      <c r="A60" s="541" t="s">
        <v>208</v>
      </c>
      <c r="B60" s="348">
        <v>0.15</v>
      </c>
      <c r="C60" s="1" t="s">
        <v>209</v>
      </c>
      <c r="D60" s="367">
        <f>'S. PROY. SOCIAL '!AH56</f>
        <v>0</v>
      </c>
      <c r="E60" s="640">
        <f>B60*Q60</f>
        <v>0</v>
      </c>
      <c r="F60" s="634">
        <f>T60</f>
        <v>0.82044989502762433</v>
      </c>
      <c r="J60" s="104" t="str">
        <f>IF(D60&lt;25%,"Rojo",IF(D60&lt;56%,"Amarillo",IF(D60&lt;74.1%,"Verde","Azul")))</f>
        <v>Rojo</v>
      </c>
      <c r="K60" s="104" t="s">
        <v>704</v>
      </c>
      <c r="L60" s="104">
        <f>COUNTIF($J$60:$J$61,"Rojo")</f>
        <v>2</v>
      </c>
      <c r="M60" s="104">
        <f>COUNTIF($J$60:$J$61,"Amarillo")</f>
        <v>0</v>
      </c>
      <c r="N60" s="104">
        <f>COUNTIF($J$60:$J$61,"Verde")</f>
        <v>0</v>
      </c>
      <c r="O60" s="104">
        <f>COUNTIF($J$60:$J$61,"Azul")</f>
        <v>0</v>
      </c>
      <c r="P60" s="104">
        <f>SUM(L60:O60)</f>
        <v>2</v>
      </c>
      <c r="Q60" s="192">
        <f t="shared" ref="Q60:Q67" si="7">((100/P60)*SUM(M60:O60)/100)</f>
        <v>0</v>
      </c>
      <c r="R60" s="191">
        <f>'S. PROY. SOCIAL '!$AK$4+'S. PROY. SOCIAL '!$AK$6</f>
        <v>181000000</v>
      </c>
      <c r="S60" s="191">
        <f>'S. PROY. SOCIAL '!$AL$4+'S. PROY. SOCIAL '!$AL$6</f>
        <v>148501431</v>
      </c>
      <c r="T60" s="193">
        <f>IFERROR(S60/R60,0)</f>
        <v>0.82044989502762433</v>
      </c>
      <c r="U60" s="104" t="s">
        <v>704</v>
      </c>
    </row>
    <row r="61" spans="1:21" x14ac:dyDescent="0.25">
      <c r="A61" s="543"/>
      <c r="B61" s="338"/>
      <c r="C61" s="1" t="s">
        <v>212</v>
      </c>
      <c r="D61" s="367">
        <f>'S. PROY. SOCIAL '!AH58</f>
        <v>0</v>
      </c>
      <c r="E61" s="643"/>
      <c r="F61" s="636"/>
      <c r="J61" s="104" t="str">
        <f t="shared" ref="J61:J78" si="8">IF(D61&lt;25%,"Rojo",IF(D61&lt;56%,"Amarillo",IF(D61&lt;74.1%,"Verde","Azul")))</f>
        <v>Rojo</v>
      </c>
      <c r="K61" s="104" t="s">
        <v>705</v>
      </c>
      <c r="L61" s="104">
        <f>COUNTIF($J$62,"Rojo")</f>
        <v>1</v>
      </c>
      <c r="M61" s="104">
        <f>COUNTIF($J$62,"Amarillo")</f>
        <v>0</v>
      </c>
      <c r="N61" s="104">
        <f>COUNTIF($J$62,"Verde")</f>
        <v>0</v>
      </c>
      <c r="O61" s="104">
        <f>COUNTIF($J$62,"Azul")</f>
        <v>0</v>
      </c>
      <c r="P61" s="104">
        <f t="shared" ref="P61:P66" si="9">SUM(L61:O61)</f>
        <v>1</v>
      </c>
      <c r="Q61" s="192">
        <f t="shared" si="7"/>
        <v>0</v>
      </c>
      <c r="R61" s="191">
        <f>'S. PROY. SOCIAL '!$AK$7</f>
        <v>70000000</v>
      </c>
      <c r="S61" s="191">
        <f>'S. PROY. SOCIAL '!$AL$7</f>
        <v>46954858</v>
      </c>
      <c r="T61" s="193">
        <f t="shared" ref="T61:T67" si="10">IFERROR(S61/R61,0)</f>
        <v>0.6707836857142857</v>
      </c>
      <c r="U61" s="104" t="s">
        <v>705</v>
      </c>
    </row>
    <row r="62" spans="1:21" x14ac:dyDescent="0.25">
      <c r="A62" s="2" t="s">
        <v>219</v>
      </c>
      <c r="B62" s="348">
        <v>0.15</v>
      </c>
      <c r="C62" s="1" t="s">
        <v>220</v>
      </c>
      <c r="D62" s="367">
        <f>'S. PROY. SOCIAL '!AH59</f>
        <v>0</v>
      </c>
      <c r="E62" s="346">
        <f>B62*Q61</f>
        <v>0</v>
      </c>
      <c r="F62" s="347">
        <f>T61</f>
        <v>0.6707836857142857</v>
      </c>
      <c r="J62" s="104" t="str">
        <f t="shared" si="8"/>
        <v>Rojo</v>
      </c>
      <c r="K62" s="104" t="s">
        <v>706</v>
      </c>
      <c r="L62" s="104">
        <f>COUNTIF($J$63:$J$68,"Rojo")</f>
        <v>6</v>
      </c>
      <c r="M62" s="104">
        <f>COUNTIF($J$63:$J$68,"Amarillo")</f>
        <v>0</v>
      </c>
      <c r="N62" s="104">
        <f>COUNTIF($J$63:$J$68,"Verde")</f>
        <v>0</v>
      </c>
      <c r="O62" s="104">
        <f>COUNTIF($J$63:$J$68,"Azul")</f>
        <v>0</v>
      </c>
      <c r="P62" s="104">
        <f t="shared" si="9"/>
        <v>6</v>
      </c>
      <c r="Q62" s="192">
        <f t="shared" si="7"/>
        <v>0</v>
      </c>
      <c r="R62" s="191">
        <f>'S. PROY. SOCIAL '!$AK$8+'S. PROY. SOCIAL '!$AK$9+'S. PROY. SOCIAL '!$AK$10+'S. PROY. SOCIAL '!$AK$11+'S. PROY. SOCIAL '!$AK$12+'S. PROY. SOCIAL '!$AK$13</f>
        <v>1803595852</v>
      </c>
      <c r="S62" s="191">
        <f>'S. PROY. SOCIAL '!$AL$8+'S. PROY. SOCIAL '!$AL$9+'S. PROY. SOCIAL '!$AL$10+'S. PROY. SOCIAL '!$AL$11+'S. PROY. SOCIAL '!$AL$12+'S. PROY. SOCIAL '!$AL$13</f>
        <v>1423641156</v>
      </c>
      <c r="T62" s="193">
        <f t="shared" si="10"/>
        <v>0.78933490250675076</v>
      </c>
      <c r="U62" s="104" t="s">
        <v>706</v>
      </c>
    </row>
    <row r="63" spans="1:21" x14ac:dyDescent="0.25">
      <c r="A63" s="653" t="s">
        <v>223</v>
      </c>
      <c r="B63" s="652">
        <v>0.2</v>
      </c>
      <c r="C63" s="1" t="s">
        <v>224</v>
      </c>
      <c r="D63" s="367">
        <f>'S. PROY. SOCIAL '!AH60</f>
        <v>0</v>
      </c>
      <c r="E63" s="638">
        <f>B63*Q62</f>
        <v>0</v>
      </c>
      <c r="F63" s="647">
        <f>T62</f>
        <v>0.78933490250675076</v>
      </c>
      <c r="J63" s="104" t="str">
        <f t="shared" si="8"/>
        <v>Rojo</v>
      </c>
      <c r="K63" s="104" t="s">
        <v>707</v>
      </c>
      <c r="L63" s="104">
        <f>COUNTIF($J$69,"Rojo")</f>
        <v>1</v>
      </c>
      <c r="M63" s="104">
        <f>COUNTIF($J$69,"Amarillo")</f>
        <v>0</v>
      </c>
      <c r="N63" s="104">
        <f>COUNTIF($J$69,"Verde")</f>
        <v>0</v>
      </c>
      <c r="O63" s="104">
        <f>COUNTIF($J$69,"Azul")</f>
        <v>0</v>
      </c>
      <c r="P63" s="104">
        <f t="shared" si="9"/>
        <v>1</v>
      </c>
      <c r="Q63" s="192">
        <f t="shared" si="7"/>
        <v>0</v>
      </c>
      <c r="R63" s="191">
        <f>'S. PROY. SOCIAL '!$AK$16</f>
        <v>30000000</v>
      </c>
      <c r="S63" s="191">
        <f>'S. PROY. SOCIAL '!$AL$16</f>
        <v>23652597</v>
      </c>
      <c r="T63" s="193">
        <f t="shared" si="10"/>
        <v>0.78841989999999995</v>
      </c>
      <c r="U63" s="104" t="s">
        <v>707</v>
      </c>
    </row>
    <row r="64" spans="1:21" x14ac:dyDescent="0.25">
      <c r="A64" s="653"/>
      <c r="B64" s="652"/>
      <c r="C64" s="1" t="s">
        <v>227</v>
      </c>
      <c r="D64" s="367">
        <f>'S. PROY. SOCIAL '!AH61</f>
        <v>0</v>
      </c>
      <c r="E64" s="638"/>
      <c r="F64" s="647"/>
      <c r="J64" s="104" t="str">
        <f t="shared" si="8"/>
        <v>Rojo</v>
      </c>
      <c r="K64" s="104" t="s">
        <v>708</v>
      </c>
      <c r="L64" s="104">
        <f>COUNTIF($J$70:$J$72,"Rojo")</f>
        <v>3</v>
      </c>
      <c r="M64" s="104">
        <f>COUNTIF($J$70:$J$72,"Amarillo")</f>
        <v>0</v>
      </c>
      <c r="N64" s="104">
        <f>COUNTIF($J$70:$J$72,"Verde")</f>
        <v>0</v>
      </c>
      <c r="O64" s="104">
        <f>COUNTIF($J$70:$J$72,"Azul")</f>
        <v>0</v>
      </c>
      <c r="P64" s="104">
        <f t="shared" si="9"/>
        <v>3</v>
      </c>
      <c r="Q64" s="192">
        <f t="shared" si="7"/>
        <v>0</v>
      </c>
      <c r="R64" s="191">
        <f>'S. PROY. SOCIAL '!$AK$22+'S. PROY. SOCIAL '!$AK$23+'S. PROY. SOCIAL '!$AK$24</f>
        <v>24826876</v>
      </c>
      <c r="S64" s="191">
        <f>'S. PROY. SOCIAL '!$AL$22+'S. PROY. SOCIAL '!$AL$23+'S. PROY. SOCIAL '!$AL$24</f>
        <v>19930546</v>
      </c>
      <c r="T64" s="193">
        <f t="shared" si="10"/>
        <v>0.80278106677618244</v>
      </c>
      <c r="U64" s="104" t="s">
        <v>708</v>
      </c>
    </row>
    <row r="65" spans="1:21" x14ac:dyDescent="0.25">
      <c r="A65" s="653"/>
      <c r="B65" s="652"/>
      <c r="C65" s="1" t="s">
        <v>229</v>
      </c>
      <c r="D65" s="367">
        <f>'S. PROY. SOCIAL '!AH62</f>
        <v>0</v>
      </c>
      <c r="E65" s="638"/>
      <c r="F65" s="647"/>
      <c r="J65" s="104" t="str">
        <f t="shared" si="8"/>
        <v>Rojo</v>
      </c>
      <c r="K65" s="104" t="s">
        <v>717</v>
      </c>
      <c r="L65" s="104">
        <f>COUNTIF($J$73,"Rojo")</f>
        <v>1</v>
      </c>
      <c r="M65" s="104">
        <f>COUNTIF($J$73,"Amarillo")</f>
        <v>0</v>
      </c>
      <c r="N65" s="104">
        <f>COUNTIF($J$73,"Verde")</f>
        <v>0</v>
      </c>
      <c r="O65" s="104">
        <f>COUNTIF($J$73,"Azul")</f>
        <v>0</v>
      </c>
      <c r="P65" s="104">
        <f t="shared" si="9"/>
        <v>1</v>
      </c>
      <c r="Q65" s="192">
        <f t="shared" si="7"/>
        <v>0</v>
      </c>
      <c r="R65" s="191">
        <f>'S. PROY. SOCIAL '!$AK$25</f>
        <v>60000000</v>
      </c>
      <c r="S65" s="191">
        <f>'S. PROY. SOCIAL '!$AL$25</f>
        <v>39343101</v>
      </c>
      <c r="T65" s="193">
        <f t="shared" si="10"/>
        <v>0.65571835000000001</v>
      </c>
      <c r="U65" s="104" t="s">
        <v>717</v>
      </c>
    </row>
    <row r="66" spans="1:21" x14ac:dyDescent="0.25">
      <c r="A66" s="653"/>
      <c r="B66" s="652"/>
      <c r="C66" s="1" t="s">
        <v>233</v>
      </c>
      <c r="D66" s="367">
        <f>'S. PROY. SOCIAL '!AH63</f>
        <v>0</v>
      </c>
      <c r="E66" s="638"/>
      <c r="F66" s="647"/>
      <c r="J66" s="104" t="str">
        <f t="shared" si="8"/>
        <v>Rojo</v>
      </c>
      <c r="K66" s="104" t="s">
        <v>709</v>
      </c>
      <c r="L66" s="104">
        <f>COUNTIF($J$74:$J$75,"Rojo")</f>
        <v>2</v>
      </c>
      <c r="M66" s="104">
        <f>COUNTIF($J$74:$J$75,"Amarillo")</f>
        <v>0</v>
      </c>
      <c r="N66" s="104">
        <f>COUNTIF($J$74:$J$75,"Verde")</f>
        <v>0</v>
      </c>
      <c r="O66" s="104">
        <f>COUNTIF($J$74:$J$75,"Azul")</f>
        <v>0</v>
      </c>
      <c r="P66" s="104">
        <f t="shared" si="9"/>
        <v>2</v>
      </c>
      <c r="Q66" s="192">
        <f t="shared" si="7"/>
        <v>0</v>
      </c>
      <c r="R66" s="191">
        <f>'S. PROY. SOCIAL '!$AK$29+'S. PROY. SOCIAL '!$AK$30</f>
        <v>10000000</v>
      </c>
      <c r="S66" s="191">
        <f>'S. PROY. SOCIAL '!$AL$29+'S. PROY. SOCIAL '!$AL$30</f>
        <v>5000000</v>
      </c>
      <c r="T66" s="193">
        <f t="shared" si="10"/>
        <v>0.5</v>
      </c>
      <c r="U66" s="104" t="s">
        <v>709</v>
      </c>
    </row>
    <row r="67" spans="1:21" x14ac:dyDescent="0.25">
      <c r="A67" s="653"/>
      <c r="B67" s="652"/>
      <c r="C67" s="1" t="s">
        <v>235</v>
      </c>
      <c r="D67" s="367">
        <f>'S. PROY. SOCIAL '!AH64</f>
        <v>0</v>
      </c>
      <c r="E67" s="638"/>
      <c r="F67" s="647"/>
      <c r="J67" s="104" t="str">
        <f t="shared" si="8"/>
        <v>Rojo</v>
      </c>
      <c r="K67" s="104" t="s">
        <v>721</v>
      </c>
      <c r="L67" s="104">
        <f>COUNTIF($J$76:$J$78,"Rojo")</f>
        <v>3</v>
      </c>
      <c r="M67" s="104">
        <f>COUNTIF($J$76:$J$78,"Amarillo")</f>
        <v>0</v>
      </c>
      <c r="N67" s="104">
        <f>COUNTIF($J$76:$J$78,"Verde")</f>
        <v>0</v>
      </c>
      <c r="O67" s="104">
        <f>COUNTIF($J$76:$J$78,"Azul")</f>
        <v>0</v>
      </c>
      <c r="P67" s="104">
        <f t="shared" ref="P67" si="11">SUM(L67:O67)</f>
        <v>3</v>
      </c>
      <c r="Q67" s="192">
        <f t="shared" si="7"/>
        <v>0</v>
      </c>
      <c r="R67" s="191">
        <f>'S. PROY. SOCIAL '!W85+'S. PROY. SOCIAL '!W86+'S. PROY. SOCIAL '!W87</f>
        <v>0</v>
      </c>
      <c r="S67" s="191">
        <f>'S. PROY. SOCIAL '!X85+'S. PROY. SOCIAL '!X86+'S. PROY. SOCIAL '!X87</f>
        <v>0</v>
      </c>
      <c r="T67" s="193">
        <f t="shared" si="10"/>
        <v>0</v>
      </c>
      <c r="U67" s="104" t="s">
        <v>721</v>
      </c>
    </row>
    <row r="68" spans="1:21" x14ac:dyDescent="0.25">
      <c r="A68" s="653"/>
      <c r="B68" s="652"/>
      <c r="C68" s="1" t="s">
        <v>237</v>
      </c>
      <c r="D68" s="367">
        <f>'S. PROY. SOCIAL '!AH65</f>
        <v>0</v>
      </c>
      <c r="E68" s="638"/>
      <c r="F68" s="647"/>
      <c r="J68" s="104" t="str">
        <f t="shared" si="8"/>
        <v>Rojo</v>
      </c>
      <c r="K68" s="104"/>
      <c r="L68" s="104"/>
      <c r="M68" s="104"/>
      <c r="N68" s="104"/>
      <c r="O68" s="104"/>
      <c r="P68" s="104"/>
      <c r="Q68" s="104"/>
      <c r="R68" s="104"/>
      <c r="S68" s="104"/>
      <c r="T68" s="104"/>
    </row>
    <row r="69" spans="1:21" ht="60" x14ac:dyDescent="0.25">
      <c r="A69" s="351" t="s">
        <v>244</v>
      </c>
      <c r="B69" s="348">
        <v>0.05</v>
      </c>
      <c r="C69" s="1" t="s">
        <v>245</v>
      </c>
      <c r="D69" s="367">
        <f>'S. PROY. SOCIAL '!AH68</f>
        <v>0</v>
      </c>
      <c r="E69" s="346">
        <f>B69*Q63</f>
        <v>0</v>
      </c>
      <c r="F69" s="347">
        <f>T63</f>
        <v>0.78841989999999995</v>
      </c>
      <c r="J69" s="104" t="str">
        <f t="shared" si="8"/>
        <v>Rojo</v>
      </c>
      <c r="K69" s="104"/>
      <c r="L69" s="104"/>
      <c r="M69" s="104"/>
      <c r="N69" s="104"/>
      <c r="O69" s="104"/>
      <c r="P69" s="104"/>
      <c r="Q69" s="104"/>
      <c r="R69" s="104"/>
      <c r="S69" s="104"/>
      <c r="T69" s="104"/>
    </row>
    <row r="70" spans="1:21" x14ac:dyDescent="0.25">
      <c r="A70" s="655" t="s">
        <v>247</v>
      </c>
      <c r="B70" s="652">
        <v>0.15</v>
      </c>
      <c r="C70" s="1" t="s">
        <v>248</v>
      </c>
      <c r="D70" s="367">
        <f>'S. PROY. SOCIAL '!AH74</f>
        <v>0</v>
      </c>
      <c r="E70" s="638">
        <f>B70*Q64</f>
        <v>0</v>
      </c>
      <c r="F70" s="647">
        <f>T64</f>
        <v>0.80278106677618244</v>
      </c>
      <c r="J70" s="104" t="str">
        <f t="shared" si="8"/>
        <v>Rojo</v>
      </c>
      <c r="K70" s="104"/>
      <c r="L70" s="104"/>
      <c r="M70" s="104"/>
      <c r="N70" s="104"/>
      <c r="O70" s="104"/>
      <c r="P70" s="104"/>
      <c r="Q70" s="104"/>
      <c r="R70" s="104"/>
      <c r="S70" s="104"/>
      <c r="T70" s="104"/>
    </row>
    <row r="71" spans="1:21" x14ac:dyDescent="0.25">
      <c r="A71" s="655"/>
      <c r="B71" s="627"/>
      <c r="C71" s="1" t="s">
        <v>250</v>
      </c>
      <c r="D71" s="367">
        <f>'S. PROY. SOCIAL '!AH75</f>
        <v>0</v>
      </c>
      <c r="E71" s="638"/>
      <c r="F71" s="470"/>
      <c r="J71" s="104" t="str">
        <f t="shared" si="8"/>
        <v>Rojo</v>
      </c>
      <c r="K71" s="104"/>
      <c r="L71" s="104"/>
      <c r="M71" s="104"/>
      <c r="N71" s="104"/>
      <c r="O71" s="104"/>
      <c r="P71" s="104"/>
      <c r="Q71" s="104"/>
      <c r="R71" s="104"/>
      <c r="S71" s="104"/>
      <c r="T71" s="104"/>
    </row>
    <row r="72" spans="1:21" x14ac:dyDescent="0.25">
      <c r="A72" s="655"/>
      <c r="B72" s="627"/>
      <c r="C72" s="1" t="s">
        <v>414</v>
      </c>
      <c r="D72" s="367">
        <f>'S. PROY. SOCIAL '!AH76</f>
        <v>0</v>
      </c>
      <c r="E72" s="638"/>
      <c r="F72" s="470"/>
      <c r="J72" s="104" t="str">
        <f t="shared" si="8"/>
        <v>Rojo</v>
      </c>
      <c r="K72" s="104"/>
      <c r="L72" s="104"/>
      <c r="M72" s="104"/>
      <c r="N72" s="104"/>
      <c r="O72" s="104"/>
      <c r="P72" s="104"/>
      <c r="Q72" s="104"/>
      <c r="R72" s="104"/>
      <c r="S72" s="104"/>
      <c r="T72" s="104"/>
    </row>
    <row r="73" spans="1:21" ht="30" x14ac:dyDescent="0.25">
      <c r="A73" s="337" t="s">
        <v>252</v>
      </c>
      <c r="B73" s="348">
        <v>0.1</v>
      </c>
      <c r="C73" s="1" t="s">
        <v>253</v>
      </c>
      <c r="D73" s="367">
        <f>'S. PROY. SOCIAL '!AH77</f>
        <v>0</v>
      </c>
      <c r="E73" s="350">
        <f>B73*Q65</f>
        <v>0</v>
      </c>
      <c r="F73" s="347">
        <f>T65</f>
        <v>0.65571835000000001</v>
      </c>
      <c r="J73" s="104" t="str">
        <f t="shared" si="8"/>
        <v>Rojo</v>
      </c>
      <c r="K73" s="104"/>
      <c r="L73" s="104"/>
      <c r="M73" s="104"/>
      <c r="N73" s="104"/>
      <c r="O73" s="104"/>
      <c r="P73" s="104"/>
      <c r="Q73" s="104"/>
      <c r="R73" s="104"/>
      <c r="S73" s="104"/>
      <c r="T73" s="104"/>
    </row>
    <row r="74" spans="1:21" x14ac:dyDescent="0.25">
      <c r="A74" s="610" t="s">
        <v>260</v>
      </c>
      <c r="B74" s="652">
        <v>0.1</v>
      </c>
      <c r="C74" s="1" t="s">
        <v>261</v>
      </c>
      <c r="D74" s="367">
        <f>'S. PROY. SOCIAL '!AH81</f>
        <v>0</v>
      </c>
      <c r="E74" s="654">
        <f>B74*Q66</f>
        <v>0</v>
      </c>
      <c r="F74" s="647">
        <f>T66</f>
        <v>0.5</v>
      </c>
      <c r="J74" s="104" t="str">
        <f t="shared" si="8"/>
        <v>Rojo</v>
      </c>
      <c r="K74" s="104"/>
      <c r="L74" s="104"/>
      <c r="M74" s="104"/>
      <c r="N74" s="104"/>
      <c r="O74" s="104"/>
      <c r="P74" s="104"/>
      <c r="Q74" s="104"/>
      <c r="R74" s="104"/>
      <c r="S74" s="104"/>
      <c r="T74" s="104"/>
    </row>
    <row r="75" spans="1:21" x14ac:dyDescent="0.25">
      <c r="A75" s="610"/>
      <c r="B75" s="627"/>
      <c r="C75" s="1" t="s">
        <v>263</v>
      </c>
      <c r="D75" s="367">
        <f>'S. PROY. SOCIAL '!AH82</f>
        <v>0</v>
      </c>
      <c r="E75" s="654"/>
      <c r="F75" s="470"/>
      <c r="J75" s="104" t="str">
        <f t="shared" si="8"/>
        <v>Rojo</v>
      </c>
      <c r="K75" s="104"/>
      <c r="L75" s="104"/>
      <c r="M75" s="104"/>
      <c r="N75" s="104"/>
      <c r="O75" s="104"/>
      <c r="P75" s="104"/>
      <c r="Q75" s="104"/>
      <c r="R75" s="104"/>
      <c r="S75" s="104"/>
      <c r="T75" s="104"/>
    </row>
    <row r="76" spans="1:21" x14ac:dyDescent="0.25">
      <c r="A76" s="655" t="s">
        <v>180</v>
      </c>
      <c r="B76" s="652">
        <v>0.1</v>
      </c>
      <c r="C76" s="1" t="s">
        <v>270</v>
      </c>
      <c r="D76" s="367">
        <f>'S. PROY. SOCIAL '!AH85</f>
        <v>0</v>
      </c>
      <c r="E76" s="638">
        <f>B76*Q67</f>
        <v>0</v>
      </c>
      <c r="F76" s="647">
        <f>T67</f>
        <v>0</v>
      </c>
      <c r="J76" s="104" t="str">
        <f t="shared" si="8"/>
        <v>Rojo</v>
      </c>
      <c r="K76" s="104"/>
      <c r="L76" s="104"/>
      <c r="M76" s="104"/>
      <c r="N76" s="104"/>
      <c r="O76" s="104"/>
      <c r="P76" s="104"/>
      <c r="Q76" s="104"/>
      <c r="R76" s="104"/>
      <c r="S76" s="104"/>
      <c r="T76" s="104"/>
    </row>
    <row r="77" spans="1:21" x14ac:dyDescent="0.25">
      <c r="A77" s="655"/>
      <c r="B77" s="652"/>
      <c r="C77" s="1" t="s">
        <v>272</v>
      </c>
      <c r="D77" s="367">
        <f>'S. PROY. SOCIAL '!AH86</f>
        <v>0</v>
      </c>
      <c r="E77" s="638"/>
      <c r="F77" s="647"/>
      <c r="J77" s="104" t="str">
        <f t="shared" si="8"/>
        <v>Rojo</v>
      </c>
      <c r="K77" s="104"/>
      <c r="L77" s="104"/>
      <c r="M77" s="104"/>
      <c r="N77" s="104"/>
      <c r="O77" s="104"/>
      <c r="P77" s="104"/>
      <c r="Q77" s="104"/>
      <c r="R77" s="104"/>
      <c r="S77" s="104"/>
      <c r="T77" s="104"/>
    </row>
    <row r="78" spans="1:21" x14ac:dyDescent="0.25">
      <c r="A78" s="655"/>
      <c r="B78" s="652"/>
      <c r="C78" s="1" t="s">
        <v>275</v>
      </c>
      <c r="D78" s="363">
        <f>'S. PROY. SOCIAL '!AH87</f>
        <v>0</v>
      </c>
      <c r="E78" s="638"/>
      <c r="F78" s="647"/>
      <c r="J78" s="104" t="str">
        <f t="shared" si="8"/>
        <v>Rojo</v>
      </c>
      <c r="K78" s="104"/>
      <c r="L78" s="104"/>
      <c r="M78" s="104"/>
      <c r="N78" s="104"/>
      <c r="O78" s="104"/>
      <c r="P78" s="104"/>
      <c r="Q78" s="104"/>
      <c r="R78" s="104"/>
      <c r="S78" s="104"/>
      <c r="T78" s="104"/>
    </row>
    <row r="79" spans="1:21" x14ac:dyDescent="0.25">
      <c r="A79" s="648" t="s">
        <v>499</v>
      </c>
      <c r="B79" s="648"/>
      <c r="C79" s="648"/>
      <c r="D79" s="648"/>
      <c r="E79" s="201">
        <f>(SUM(E60:E78)/8)</f>
        <v>0</v>
      </c>
      <c r="F79" s="195">
        <f>SUM(F60:F78)/8</f>
        <v>0.62843597500310544</v>
      </c>
      <c r="J79" s="104"/>
    </row>
    <row r="81" spans="1:4" ht="30" x14ac:dyDescent="0.25">
      <c r="A81" s="342" t="s">
        <v>489</v>
      </c>
      <c r="B81" s="342" t="s">
        <v>729</v>
      </c>
      <c r="C81" s="342" t="s">
        <v>731</v>
      </c>
      <c r="D81" s="342" t="s">
        <v>7</v>
      </c>
    </row>
    <row r="82" spans="1:4" ht="45" x14ac:dyDescent="0.25">
      <c r="A82" s="312" t="str">
        <f>A60</f>
        <v>SP-PY1.  Internacionalización Académica Curricular y Administrativa.</v>
      </c>
      <c r="B82" s="367">
        <f t="shared" ref="B82:B89" si="12">Q60</f>
        <v>0</v>
      </c>
      <c r="C82" s="367">
        <f>F60</f>
        <v>0.82044989502762433</v>
      </c>
      <c r="D82" s="367">
        <f>(B82+C82)/2</f>
        <v>0.41022494751381217</v>
      </c>
    </row>
    <row r="83" spans="1:4" x14ac:dyDescent="0.25">
      <c r="A83" s="312" t="str">
        <f>A62</f>
        <v>SP-PY2.  Regionalización de la USCO</v>
      </c>
      <c r="B83" s="367">
        <f t="shared" si="12"/>
        <v>0</v>
      </c>
      <c r="C83" s="367">
        <f>F62</f>
        <v>0.6707836857142857</v>
      </c>
      <c r="D83" s="367">
        <f t="shared" ref="D83:D89" si="13">(B83+C83)/2</f>
        <v>0.33539184285714285</v>
      </c>
    </row>
    <row r="84" spans="1:4" ht="45" x14ac:dyDescent="0.25">
      <c r="A84" s="312" t="str">
        <f>A63</f>
        <v>SP-PY3. Reformulación y fortalecimiento de las modalidades y formas de Proyección Social.</v>
      </c>
      <c r="B84" s="367">
        <f t="shared" si="12"/>
        <v>0</v>
      </c>
      <c r="C84" s="367">
        <f>F63</f>
        <v>0.78933490250675076</v>
      </c>
      <c r="D84" s="367">
        <f t="shared" si="13"/>
        <v>0.39466745125337538</v>
      </c>
    </row>
    <row r="85" spans="1:4" ht="60" x14ac:dyDescent="0.25">
      <c r="A85" s="312" t="str">
        <f>A69</f>
        <v>SP-PY4.  Estructuración y desarrollo Unidades de Atención Especializada y de Emprendimiento e Innovación Institucional.</v>
      </c>
      <c r="B85" s="367">
        <f t="shared" si="12"/>
        <v>0</v>
      </c>
      <c r="C85" s="367">
        <f>F69</f>
        <v>0.78841989999999995</v>
      </c>
      <c r="D85" s="367">
        <f t="shared" si="13"/>
        <v>0.39420994999999998</v>
      </c>
    </row>
    <row r="86" spans="1:4" ht="45" x14ac:dyDescent="0.25">
      <c r="A86" s="312" t="str">
        <f>A70</f>
        <v>SP-PY5.  Consolidación de la Alianza Estratégica Estado-Universidad-Empresa-Ciudadanía.</v>
      </c>
      <c r="B86" s="367">
        <f t="shared" si="12"/>
        <v>0</v>
      </c>
      <c r="C86" s="367">
        <f>F70</f>
        <v>0.80278106677618244</v>
      </c>
      <c r="D86" s="367">
        <f t="shared" si="13"/>
        <v>0.40139053338809122</v>
      </c>
    </row>
    <row r="87" spans="1:4" ht="30" x14ac:dyDescent="0.25">
      <c r="A87" s="312" t="str">
        <f>A73</f>
        <v>SP-PY6. Estructuración y Desarrollo de la Agenda Social Regional.</v>
      </c>
      <c r="B87" s="367">
        <f t="shared" si="12"/>
        <v>0</v>
      </c>
      <c r="C87" s="367">
        <f>F73</f>
        <v>0.65571835000000001</v>
      </c>
      <c r="D87" s="367">
        <f t="shared" si="13"/>
        <v>0.327859175</v>
      </c>
    </row>
    <row r="88" spans="1:4" ht="45" x14ac:dyDescent="0.25">
      <c r="A88" s="312" t="str">
        <f>A74</f>
        <v>SP-PY7.  Articulación de la Educación Superior con la Educación formal, el trabajo y el desarrollo humano.</v>
      </c>
      <c r="B88" s="367">
        <f t="shared" si="12"/>
        <v>0</v>
      </c>
      <c r="C88" s="367">
        <f>F74</f>
        <v>0.5</v>
      </c>
      <c r="D88" s="367">
        <f t="shared" si="13"/>
        <v>0.25</v>
      </c>
    </row>
    <row r="89" spans="1:4" ht="60" x14ac:dyDescent="0.25">
      <c r="A89" s="312" t="str">
        <f>A76</f>
        <v>SI-PY8.  Creación y Fortalecimiento de Centros, Institutos de investigación, desarrollo y vigilancia Tecnológica e Innovación.</v>
      </c>
      <c r="B89" s="367">
        <f t="shared" si="12"/>
        <v>0</v>
      </c>
      <c r="C89" s="367">
        <f>F76</f>
        <v>0</v>
      </c>
      <c r="D89" s="367">
        <f t="shared" si="13"/>
        <v>0</v>
      </c>
    </row>
    <row r="90" spans="1:4" x14ac:dyDescent="0.25">
      <c r="A90" s="341" t="s">
        <v>728</v>
      </c>
      <c r="B90" s="367">
        <f>AVERAGE(B82:B89)</f>
        <v>0</v>
      </c>
      <c r="C90" s="367">
        <f>AVERAGE(C82:C89)</f>
        <v>0.62843597500310544</v>
      </c>
      <c r="D90" s="367">
        <f>AVERAGE(D82:D89)</f>
        <v>0.31421798750155272</v>
      </c>
    </row>
  </sheetData>
  <mergeCells count="42">
    <mergeCell ref="A76:A78"/>
    <mergeCell ref="B76:B78"/>
    <mergeCell ref="E76:E78"/>
    <mergeCell ref="F76:F78"/>
    <mergeCell ref="A79:D79"/>
    <mergeCell ref="A70:A72"/>
    <mergeCell ref="B70:B72"/>
    <mergeCell ref="E70:E72"/>
    <mergeCell ref="F70:F72"/>
    <mergeCell ref="A74:A75"/>
    <mergeCell ref="B74:B75"/>
    <mergeCell ref="E74:E75"/>
    <mergeCell ref="F74:F75"/>
    <mergeCell ref="A58:F58"/>
    <mergeCell ref="A60:A61"/>
    <mergeCell ref="E60:E61"/>
    <mergeCell ref="F60:F61"/>
    <mergeCell ref="A63:A68"/>
    <mergeCell ref="B63:B68"/>
    <mergeCell ref="E63:E68"/>
    <mergeCell ref="F63:F68"/>
    <mergeCell ref="E24:E26"/>
    <mergeCell ref="F24:F26"/>
    <mergeCell ref="A27:D27"/>
    <mergeCell ref="B11:B16"/>
    <mergeCell ref="A11:A16"/>
    <mergeCell ref="E11:E16"/>
    <mergeCell ref="F11:F16"/>
    <mergeCell ref="A22:A23"/>
    <mergeCell ref="B22:B23"/>
    <mergeCell ref="E22:E23"/>
    <mergeCell ref="F22:F23"/>
    <mergeCell ref="B24:B26"/>
    <mergeCell ref="A24:A26"/>
    <mergeCell ref="A18:A20"/>
    <mergeCell ref="B18:B20"/>
    <mergeCell ref="A6:F6"/>
    <mergeCell ref="A8:A9"/>
    <mergeCell ref="E8:E9"/>
    <mergeCell ref="F8:F9"/>
    <mergeCell ref="E18:E20"/>
    <mergeCell ref="F18:F20"/>
  </mergeCells>
  <conditionalFormatting sqref="D8:D26">
    <cfRule type="cellIs" dxfId="336" priority="222" operator="greaterThan">
      <formula>50%</formula>
    </cfRule>
    <cfRule type="cellIs" dxfId="335" priority="223" operator="between">
      <formula>37.1%</formula>
      <formula>50%</formula>
    </cfRule>
    <cfRule type="cellIs" dxfId="334" priority="224" operator="between">
      <formula>16%</formula>
      <formula>37%</formula>
    </cfRule>
    <cfRule type="cellIs" dxfId="333" priority="225" operator="lessThan">
      <formula>16%</formula>
    </cfRule>
  </conditionalFormatting>
  <conditionalFormatting sqref="B30:D37">
    <cfRule type="cellIs" dxfId="332" priority="66" operator="greaterThan">
      <formula>50%</formula>
    </cfRule>
    <cfRule type="cellIs" dxfId="331" priority="67" operator="between">
      <formula>37.1%</formula>
      <formula>50%</formula>
    </cfRule>
    <cfRule type="cellIs" dxfId="330" priority="68" operator="between">
      <formula>16%</formula>
      <formula>37%</formula>
    </cfRule>
    <cfRule type="cellIs" dxfId="329" priority="69" operator="lessThan">
      <formula>16%</formula>
    </cfRule>
  </conditionalFormatting>
  <conditionalFormatting sqref="B38:D38">
    <cfRule type="cellIs" dxfId="328" priority="62" operator="greaterThan">
      <formula>50%</formula>
    </cfRule>
    <cfRule type="cellIs" dxfId="327" priority="63" operator="between">
      <formula>37%</formula>
      <formula>50%</formula>
    </cfRule>
    <cfRule type="cellIs" dxfId="326" priority="64" operator="between">
      <formula>16%</formula>
      <formula>37%</formula>
    </cfRule>
    <cfRule type="cellIs" dxfId="325" priority="65" operator="lessThan">
      <formula>16%</formula>
    </cfRule>
  </conditionalFormatting>
  <conditionalFormatting sqref="C83:D89">
    <cfRule type="cellIs" dxfId="324" priority="6" operator="equal">
      <formula>0</formula>
    </cfRule>
  </conditionalFormatting>
  <conditionalFormatting sqref="C83:D89">
    <cfRule type="cellIs" dxfId="323" priority="7" operator="greaterThan">
      <formula>74.1%</formula>
    </cfRule>
    <cfRule type="cellIs" dxfId="322" priority="8" operator="between">
      <formula>56.1%</formula>
      <formula>74%</formula>
    </cfRule>
    <cfRule type="cellIs" dxfId="321" priority="9" operator="between">
      <formula>25.1%</formula>
      <formula>56%</formula>
    </cfRule>
    <cfRule type="cellIs" dxfId="320" priority="10" operator="lessThanOrEqual">
      <formula>25%</formula>
    </cfRule>
  </conditionalFormatting>
  <conditionalFormatting sqref="D78">
    <cfRule type="cellIs" dxfId="319" priority="36" operator="equal">
      <formula>0</formula>
    </cfRule>
  </conditionalFormatting>
  <conditionalFormatting sqref="D78">
    <cfRule type="cellIs" dxfId="318" priority="37" operator="greaterThan">
      <formula>74.1%</formula>
    </cfRule>
    <cfRule type="cellIs" dxfId="317" priority="38" operator="between">
      <formula>56.1%</formula>
      <formula>74%</formula>
    </cfRule>
    <cfRule type="cellIs" dxfId="316" priority="39" operator="between">
      <formula>25.1%</formula>
      <formula>56%</formula>
    </cfRule>
    <cfRule type="cellIs" dxfId="315" priority="40" operator="lessThanOrEqual">
      <formula>25%</formula>
    </cfRule>
  </conditionalFormatting>
  <conditionalFormatting sqref="D60">
    <cfRule type="cellIs" dxfId="314" priority="32" operator="greaterThan">
      <formula>74.1%</formula>
    </cfRule>
    <cfRule type="cellIs" dxfId="313" priority="33" operator="between">
      <formula>56.1%</formula>
      <formula>74%</formula>
    </cfRule>
    <cfRule type="cellIs" dxfId="312" priority="34" operator="between">
      <formula>25.1%</formula>
      <formula>56%</formula>
    </cfRule>
    <cfRule type="cellIs" dxfId="311" priority="35" operator="lessThanOrEqual">
      <formula>25%</formula>
    </cfRule>
  </conditionalFormatting>
  <conditionalFormatting sqref="D60">
    <cfRule type="cellIs" dxfId="310" priority="31" operator="equal">
      <formula>0</formula>
    </cfRule>
  </conditionalFormatting>
  <conditionalFormatting sqref="D61:D77">
    <cfRule type="cellIs" dxfId="309" priority="27" operator="greaterThan">
      <formula>74.1%</formula>
    </cfRule>
    <cfRule type="cellIs" dxfId="308" priority="28" operator="between">
      <formula>56.1%</formula>
      <formula>74%</formula>
    </cfRule>
    <cfRule type="cellIs" dxfId="307" priority="29" operator="between">
      <formula>25.1%</formula>
      <formula>56%</formula>
    </cfRule>
    <cfRule type="cellIs" dxfId="306" priority="30" operator="lessThanOrEqual">
      <formula>25%</formula>
    </cfRule>
  </conditionalFormatting>
  <conditionalFormatting sqref="D61:D77">
    <cfRule type="cellIs" dxfId="305" priority="26" operator="equal">
      <formula>0</formula>
    </cfRule>
  </conditionalFormatting>
  <conditionalFormatting sqref="B82">
    <cfRule type="cellIs" dxfId="304" priority="22" operator="greaterThan">
      <formula>74.1%</formula>
    </cfRule>
    <cfRule type="cellIs" dxfId="303" priority="23" operator="between">
      <formula>56.1%</formula>
      <formula>74%</formula>
    </cfRule>
    <cfRule type="cellIs" dxfId="302" priority="24" operator="between">
      <formula>25.1%</formula>
      <formula>56%</formula>
    </cfRule>
    <cfRule type="cellIs" dxfId="301" priority="25" operator="lessThanOrEqual">
      <formula>25%</formula>
    </cfRule>
  </conditionalFormatting>
  <conditionalFormatting sqref="B82">
    <cfRule type="cellIs" dxfId="300" priority="21" operator="equal">
      <formula>0</formula>
    </cfRule>
  </conditionalFormatting>
  <conditionalFormatting sqref="C82:D82">
    <cfRule type="cellIs" dxfId="299" priority="17" operator="greaterThan">
      <formula>74.1%</formula>
    </cfRule>
    <cfRule type="cellIs" dxfId="298" priority="18" operator="between">
      <formula>56.1%</formula>
      <formula>74%</formula>
    </cfRule>
    <cfRule type="cellIs" dxfId="297" priority="19" operator="between">
      <formula>25.1%</formula>
      <formula>56%</formula>
    </cfRule>
    <cfRule type="cellIs" dxfId="296" priority="20" operator="lessThanOrEqual">
      <formula>25%</formula>
    </cfRule>
  </conditionalFormatting>
  <conditionalFormatting sqref="C82:D82">
    <cfRule type="cellIs" dxfId="295" priority="16" operator="equal">
      <formula>0</formula>
    </cfRule>
  </conditionalFormatting>
  <conditionalFormatting sqref="B83:B89">
    <cfRule type="cellIs" dxfId="294" priority="12" operator="greaterThan">
      <formula>74.1%</formula>
    </cfRule>
    <cfRule type="cellIs" dxfId="293" priority="13" operator="between">
      <formula>56.1%</formula>
      <formula>74%</formula>
    </cfRule>
    <cfRule type="cellIs" dxfId="292" priority="14" operator="between">
      <formula>25.1%</formula>
      <formula>56%</formula>
    </cfRule>
    <cfRule type="cellIs" dxfId="291" priority="15" operator="lessThanOrEqual">
      <formula>25%</formula>
    </cfRule>
  </conditionalFormatting>
  <conditionalFormatting sqref="B83:B89">
    <cfRule type="cellIs" dxfId="290" priority="11" operator="equal">
      <formula>0</formula>
    </cfRule>
  </conditionalFormatting>
  <conditionalFormatting sqref="B90:D90">
    <cfRule type="cellIs" dxfId="289" priority="2" operator="greaterThan">
      <formula>74.1%</formula>
    </cfRule>
    <cfRule type="cellIs" dxfId="288" priority="3" operator="between">
      <formula>56.1%</formula>
      <formula>74%</formula>
    </cfRule>
    <cfRule type="cellIs" dxfId="287" priority="4" operator="between">
      <formula>25.1%</formula>
      <formula>56%</formula>
    </cfRule>
    <cfRule type="cellIs" dxfId="286" priority="5" operator="lessThanOrEqual">
      <formula>25%</formula>
    </cfRule>
  </conditionalFormatting>
  <conditionalFormatting sqref="B90:D90">
    <cfRule type="cellIs" dxfId="285" priority="1" operator="equal">
      <formula>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T115"/>
  <sheetViews>
    <sheetView topLeftCell="A56" zoomScale="90" zoomScaleNormal="90" workbookViewId="0">
      <selection activeCell="F84" sqref="F84"/>
    </sheetView>
  </sheetViews>
  <sheetFormatPr baseColWidth="10" defaultRowHeight="15" x14ac:dyDescent="0.25"/>
  <cols>
    <col min="1" max="1" width="33.85546875" customWidth="1"/>
    <col min="2" max="2" width="17.5703125" customWidth="1"/>
    <col min="4" max="4" width="13" customWidth="1"/>
    <col min="6" max="6" width="12.85546875" style="103" customWidth="1"/>
    <col min="7" max="7" width="26.28515625" customWidth="1"/>
    <col min="18" max="18" width="17.28515625" customWidth="1"/>
    <col min="19" max="19" width="16.28515625" customWidth="1"/>
  </cols>
  <sheetData>
    <row r="5" spans="1:20" x14ac:dyDescent="0.25">
      <c r="A5" s="657" t="s">
        <v>850</v>
      </c>
      <c r="B5" s="657"/>
      <c r="C5" s="657"/>
      <c r="D5" s="657"/>
      <c r="E5" s="657"/>
    </row>
    <row r="6" spans="1:20" ht="19.5" x14ac:dyDescent="0.3">
      <c r="A6" s="658" t="s">
        <v>498</v>
      </c>
      <c r="B6" s="659"/>
      <c r="C6" s="659"/>
      <c r="D6" s="659"/>
      <c r="E6" s="660"/>
      <c r="F6"/>
    </row>
    <row r="7" spans="1:20" ht="45" x14ac:dyDescent="0.25">
      <c r="A7" s="302" t="s">
        <v>489</v>
      </c>
      <c r="B7" s="299" t="s">
        <v>490</v>
      </c>
      <c r="C7" s="302" t="s">
        <v>491</v>
      </c>
      <c r="D7" s="299" t="s">
        <v>492</v>
      </c>
      <c r="E7" s="299" t="s">
        <v>494</v>
      </c>
      <c r="F7"/>
      <c r="I7" s="103"/>
      <c r="J7" s="103"/>
      <c r="K7" s="103"/>
      <c r="L7" s="103" t="s">
        <v>710</v>
      </c>
      <c r="M7" s="103" t="s">
        <v>711</v>
      </c>
      <c r="N7" s="103" t="s">
        <v>712</v>
      </c>
      <c r="O7" s="103" t="s">
        <v>713</v>
      </c>
      <c r="P7" s="103" t="s">
        <v>714</v>
      </c>
      <c r="Q7" s="103"/>
      <c r="R7" s="190" t="s">
        <v>715</v>
      </c>
      <c r="S7" s="190" t="s">
        <v>716</v>
      </c>
      <c r="T7" s="103"/>
    </row>
    <row r="8" spans="1:20" ht="15.75" customHeight="1" x14ac:dyDescent="0.25">
      <c r="A8" s="653" t="s">
        <v>86</v>
      </c>
      <c r="B8" s="652">
        <v>0.2</v>
      </c>
      <c r="C8" s="1" t="s">
        <v>87</v>
      </c>
      <c r="D8" s="300">
        <f>'S. INVESTIGACIÓN'!AH5</f>
        <v>0.75</v>
      </c>
      <c r="E8" s="656">
        <f>T8</f>
        <v>0.40459828964326655</v>
      </c>
      <c r="F8"/>
      <c r="I8" s="104"/>
      <c r="J8" s="104" t="str">
        <f t="shared" ref="J8:J37" si="0">IF(D8&lt;16%,"Rojo",IF(D8&lt;37%,"Amarillo",IF(D8&lt;50.1%,"Verde","Azul")))</f>
        <v>Azul</v>
      </c>
      <c r="K8" s="104" t="s">
        <v>704</v>
      </c>
      <c r="L8" s="104">
        <f>COUNTIF($J$8:$J$12,"Rojo")</f>
        <v>0</v>
      </c>
      <c r="M8" s="104">
        <f>COUNTIF($J$8:$J$12,"Amarillo")</f>
        <v>2</v>
      </c>
      <c r="N8" s="104">
        <f>COUNTIF($J$8:$J$12,"Verde")</f>
        <v>0</v>
      </c>
      <c r="O8" s="104">
        <f>COUNTIF($J$8:$J$12,"Azul")</f>
        <v>3</v>
      </c>
      <c r="P8" s="104">
        <f>SUM(L8:O8)</f>
        <v>5</v>
      </c>
      <c r="Q8" s="192">
        <f t="shared" ref="Q8:Q14" si="1">((100/P8)*SUM(M8:O8)/100)</f>
        <v>1</v>
      </c>
      <c r="R8" s="191">
        <f>'S. INVESTIGACIÓN'!$W$5+'S. INVESTIGACIÓN'!$W$6+'S. INVESTIGACIÓN'!$W$7+'S. INVESTIGACIÓN'!$W$8+'S. INVESTIGACIÓN'!$W$9</f>
        <v>2373305826</v>
      </c>
      <c r="S8" s="191">
        <f>'S. INVESTIGACIÓN'!$X$5+'S. INVESTIGACIÓN'!$X$6+'S. INVESTIGACIÓN'!$X$7+'S. INVESTIGACIÓN'!$X$8+'S. INVESTIGACIÓN'!$X$9</f>
        <v>960235478</v>
      </c>
      <c r="T8" s="193">
        <f>IFERROR(S8/R8,0)</f>
        <v>0.40459828964326655</v>
      </c>
    </row>
    <row r="9" spans="1:20" ht="27.75" customHeight="1" x14ac:dyDescent="0.25">
      <c r="A9" s="653"/>
      <c r="B9" s="627"/>
      <c r="C9" s="1" t="s">
        <v>91</v>
      </c>
      <c r="D9" s="300">
        <f>'S. INVESTIGACIÓN'!AH6</f>
        <v>1.75</v>
      </c>
      <c r="E9" s="656"/>
      <c r="F9"/>
      <c r="I9" s="104"/>
      <c r="J9" s="104" t="str">
        <f t="shared" si="0"/>
        <v>Azul</v>
      </c>
      <c r="K9" s="104" t="s">
        <v>705</v>
      </c>
      <c r="L9" s="104">
        <f>COUNTIF($J$13:$J$21,"Rojo")</f>
        <v>4</v>
      </c>
      <c r="M9" s="104">
        <f>COUNTIF($J$13:$J$21,"Amarillo")</f>
        <v>0</v>
      </c>
      <c r="N9" s="104">
        <f>COUNTIF($J$13:$J$21,"Verde")</f>
        <v>1</v>
      </c>
      <c r="O9" s="104">
        <f>COUNTIF($J$13:$J$21,"Azul")</f>
        <v>4</v>
      </c>
      <c r="P9" s="104">
        <f>SUM(L9:O9)</f>
        <v>9</v>
      </c>
      <c r="Q9" s="224">
        <f>((100/P9)*SUM(M9:O9)/100)</f>
        <v>0.55555555555555558</v>
      </c>
      <c r="R9" s="191">
        <f>'S. INVESTIGACIÓN'!$W$10+'S. INVESTIGACIÓN'!$W$11+'S. INVESTIGACIÓN'!$W$12+'S. INVESTIGACIÓN'!$W$13+'S. INVESTIGACIÓN'!$W$14+'S. INVESTIGACIÓN'!$W$15+'S. INVESTIGACIÓN'!$W$16+'S. INVESTIGACIÓN'!$W$17+'S. INVESTIGACIÓN'!$W$18</f>
        <v>550946741</v>
      </c>
      <c r="S9" s="191">
        <f>'S. INVESTIGACIÓN'!$X$10+'S. INVESTIGACIÓN'!$X$11+'S. INVESTIGACIÓN'!$X$12+'S. INVESTIGACIÓN'!$X$13+'S. INVESTIGACIÓN'!$X$14+'S. INVESTIGACIÓN'!$X$15+'S. INVESTIGACIÓN'!$X$16+'S. INVESTIGACIÓN'!$X$17+'S. INVESTIGACIÓN'!$X$18</f>
        <v>248994871</v>
      </c>
      <c r="T9" s="193">
        <f t="shared" ref="T9:T16" si="2">IFERROR(S9/R9,0)</f>
        <v>0.45194000158356507</v>
      </c>
    </row>
    <row r="10" spans="1:20" ht="15.75" customHeight="1" x14ac:dyDescent="0.25">
      <c r="A10" s="653"/>
      <c r="B10" s="627"/>
      <c r="C10" s="296" t="s">
        <v>94</v>
      </c>
      <c r="D10" s="300">
        <f>'S. INVESTIGACIÓN'!AH7</f>
        <v>0.25</v>
      </c>
      <c r="E10" s="656"/>
      <c r="F10"/>
      <c r="I10" s="104"/>
      <c r="J10" s="104" t="str">
        <f t="shared" si="0"/>
        <v>Amarillo</v>
      </c>
      <c r="K10" s="104" t="s">
        <v>706</v>
      </c>
      <c r="L10" s="104">
        <f>COUNTIF($J$22:$J$25,"Rojo")</f>
        <v>1</v>
      </c>
      <c r="M10" s="104">
        <f>COUNTIF($J$22:$J$25,"Amarillo")</f>
        <v>2</v>
      </c>
      <c r="N10" s="104">
        <f>COUNTIF($J$22:$J$25,"Verde")</f>
        <v>1</v>
      </c>
      <c r="O10" s="104">
        <f>COUNTIF($J$22:$J$25,"Azul")</f>
        <v>0</v>
      </c>
      <c r="P10" s="104">
        <f t="shared" ref="P10:P13" si="3">SUM(L10:O10)</f>
        <v>4</v>
      </c>
      <c r="Q10" s="192">
        <f t="shared" si="1"/>
        <v>0.75</v>
      </c>
      <c r="R10" s="191">
        <f>'S. INVESTIGACIÓN'!$W$19+'S. INVESTIGACIÓN'!$W$20+'S. INVESTIGACIÓN'!$W$21+'S. INVESTIGACIÓN'!$W$22</f>
        <v>224000000</v>
      </c>
      <c r="S10" s="191">
        <f>'S. INVESTIGACIÓN'!$X$19+'S. INVESTIGACIÓN'!$X$20+'S. INVESTIGACIÓN'!$X$21+'S. INVESTIGACIÓN'!$X$22</f>
        <v>108132962</v>
      </c>
      <c r="T10" s="193">
        <f t="shared" si="2"/>
        <v>0.4827364375</v>
      </c>
    </row>
    <row r="11" spans="1:20" x14ac:dyDescent="0.25">
      <c r="A11" s="653"/>
      <c r="B11" s="627"/>
      <c r="C11" s="1" t="s">
        <v>98</v>
      </c>
      <c r="D11" s="300">
        <f>'S. INVESTIGACIÓN'!AH8</f>
        <v>1</v>
      </c>
      <c r="E11" s="656"/>
      <c r="F11"/>
      <c r="I11" s="104"/>
      <c r="J11" s="104" t="str">
        <f t="shared" si="0"/>
        <v>Azul</v>
      </c>
      <c r="K11" s="104" t="s">
        <v>707</v>
      </c>
      <c r="L11" s="104">
        <f>COUNTIF($J$26:$J$27,"Rojo")</f>
        <v>1</v>
      </c>
      <c r="M11" s="104">
        <f>COUNTIF($J$26:$J$27,"Amarillo")</f>
        <v>1</v>
      </c>
      <c r="N11" s="104">
        <f>COUNTIF($J$26:$J$27,"Verde")</f>
        <v>0</v>
      </c>
      <c r="O11" s="104">
        <f>COUNTIF($J$26:$J$27,"Azul")</f>
        <v>0</v>
      </c>
      <c r="P11" s="104">
        <f t="shared" si="3"/>
        <v>2</v>
      </c>
      <c r="Q11" s="192">
        <f t="shared" si="1"/>
        <v>0.5</v>
      </c>
      <c r="R11" s="191">
        <f>'S. INVESTIGACIÓN'!$W$23+'S. INVESTIGACIÓN'!$W$24</f>
        <v>115000000</v>
      </c>
      <c r="S11" s="191">
        <f>'S. INVESTIGACIÓN'!$X$23+'S. INVESTIGACIÓN'!$X$24</f>
        <v>32114277</v>
      </c>
      <c r="T11" s="193">
        <f t="shared" si="2"/>
        <v>0.27925458260869568</v>
      </c>
    </row>
    <row r="12" spans="1:20" ht="15.75" customHeight="1" x14ac:dyDescent="0.25">
      <c r="A12" s="653"/>
      <c r="B12" s="627"/>
      <c r="C12" s="1" t="s">
        <v>101</v>
      </c>
      <c r="D12" s="300">
        <f>'S. INVESTIGACIÓN'!AH9</f>
        <v>0.3</v>
      </c>
      <c r="E12" s="656"/>
      <c r="F12"/>
      <c r="I12" s="104"/>
      <c r="J12" s="104" t="str">
        <f t="shared" si="0"/>
        <v>Amarillo</v>
      </c>
      <c r="K12" s="104" t="s">
        <v>708</v>
      </c>
      <c r="L12" s="104">
        <f>COUNTIF($J$28:$J$29,"Rojo")</f>
        <v>1</v>
      </c>
      <c r="M12" s="104">
        <f>COUNTIF($J$28:$J$29,"Amarillo")</f>
        <v>0</v>
      </c>
      <c r="N12" s="104">
        <f>COUNTIF($J$28:$J$29,"Verde")</f>
        <v>0</v>
      </c>
      <c r="O12" s="104">
        <f>COUNTIF($J$28:$J$29,"Azul")</f>
        <v>1</v>
      </c>
      <c r="P12" s="104">
        <f t="shared" ref="P12" si="4">SUM(L12:O12)</f>
        <v>2</v>
      </c>
      <c r="Q12" s="192">
        <f t="shared" si="1"/>
        <v>0.5</v>
      </c>
      <c r="R12" s="191">
        <f>'S. INVESTIGACIÓN'!$W$25+'S. INVESTIGACIÓN'!$W$26+'S. INVESTIGACIÓN'!$W$27</f>
        <v>3409557814</v>
      </c>
      <c r="S12" s="191">
        <f>'S. INVESTIGACIÓN'!$X$25+'S. INVESTIGACIÓN'!$X$26+'S. INVESTIGACIÓN'!$X$27</f>
        <v>1467487257</v>
      </c>
      <c r="T12" s="193">
        <f t="shared" si="2"/>
        <v>0.4304039811187082</v>
      </c>
    </row>
    <row r="13" spans="1:20" ht="15" customHeight="1" x14ac:dyDescent="0.25">
      <c r="A13" s="653" t="s">
        <v>104</v>
      </c>
      <c r="B13" s="652">
        <v>0.2</v>
      </c>
      <c r="C13" s="1" t="s">
        <v>105</v>
      </c>
      <c r="D13" s="300">
        <f>'S. INVESTIGACIÓN'!AH10</f>
        <v>1.5</v>
      </c>
      <c r="E13" s="656">
        <f>T9</f>
        <v>0.45194000158356507</v>
      </c>
      <c r="F13"/>
      <c r="I13" s="104"/>
      <c r="J13" s="104" t="str">
        <f t="shared" si="0"/>
        <v>Azul</v>
      </c>
      <c r="K13" s="104" t="s">
        <v>717</v>
      </c>
      <c r="L13" s="104">
        <f>COUNTIF($J$30:$J$31,"Rojo")</f>
        <v>1</v>
      </c>
      <c r="M13" s="104">
        <f>COUNTIF($J$30:$J$31,"Amarillo")</f>
        <v>0</v>
      </c>
      <c r="N13" s="104">
        <f>COUNTIF($J$30:$J$31,"Verde")</f>
        <v>0</v>
      </c>
      <c r="O13" s="104">
        <f>COUNTIF($J$30:$J$31,"Azul")</f>
        <v>1</v>
      </c>
      <c r="P13" s="104">
        <f t="shared" si="3"/>
        <v>2</v>
      </c>
      <c r="Q13" s="192">
        <f t="shared" si="1"/>
        <v>0.5</v>
      </c>
      <c r="R13" s="191">
        <f>'S. INVESTIGACIÓN'!$W$28+'S. INVESTIGACIÓN'!$W$29+'S. INVESTIGACIÓN'!$W$30+'S. INVESTIGACIÓN'!$W$31</f>
        <v>1000000</v>
      </c>
      <c r="S13" s="191">
        <f>'S. INVESTIGACIÓN'!$X$28+'S. INVESTIGACIÓN'!$X$29+'S. INVESTIGACIÓN'!$X$30+'S. INVESTIGACIÓN'!$X$31</f>
        <v>0</v>
      </c>
      <c r="T13" s="193">
        <f t="shared" si="2"/>
        <v>0</v>
      </c>
    </row>
    <row r="14" spans="1:20" ht="15" customHeight="1" x14ac:dyDescent="0.25">
      <c r="A14" s="653"/>
      <c r="B14" s="652"/>
      <c r="C14" s="1" t="s">
        <v>108</v>
      </c>
      <c r="D14" s="300">
        <f>'S. INVESTIGACIÓN'!AH11</f>
        <v>1</v>
      </c>
      <c r="E14" s="656"/>
      <c r="F14"/>
      <c r="I14" s="104"/>
      <c r="J14" s="104" t="str">
        <f t="shared" si="0"/>
        <v>Azul</v>
      </c>
      <c r="K14" s="104" t="s">
        <v>709</v>
      </c>
      <c r="L14" s="104">
        <f>COUNTIF($J$31:$J$31,"Rojo")</f>
        <v>1</v>
      </c>
      <c r="M14" s="104">
        <f>COUNTIF($J$31:$J$31,"Amarillo")</f>
        <v>0</v>
      </c>
      <c r="N14" s="104">
        <f>COUNTIF($J$31:$J$31,"Verde")</f>
        <v>0</v>
      </c>
      <c r="O14" s="104">
        <f>COUNTIF($J$31:$J$31,"Azul")</f>
        <v>0</v>
      </c>
      <c r="P14" s="104">
        <f t="shared" ref="P14" si="5">SUM(L14:O14)</f>
        <v>1</v>
      </c>
      <c r="Q14" s="192">
        <f t="shared" si="1"/>
        <v>0</v>
      </c>
      <c r="R14" s="191">
        <f>'S. INVESTIGACIÓN'!$W$32+'S. INVESTIGACIÓN'!$W$33</f>
        <v>1000000</v>
      </c>
      <c r="S14" s="191">
        <f>'S. INVESTIGACIÓN'!$X$32+'S. INVESTIGACIÓN'!$X$33</f>
        <v>0</v>
      </c>
      <c r="T14" s="193">
        <f t="shared" si="2"/>
        <v>0</v>
      </c>
    </row>
    <row r="15" spans="1:20" x14ac:dyDescent="0.25">
      <c r="A15" s="653"/>
      <c r="B15" s="652"/>
      <c r="C15" s="1" t="s">
        <v>112</v>
      </c>
      <c r="D15" s="300">
        <f>'S. INVESTIGACIÓN'!AH12</f>
        <v>0</v>
      </c>
      <c r="E15" s="656"/>
      <c r="F15"/>
      <c r="I15" s="104"/>
      <c r="J15" s="104" t="str">
        <f t="shared" si="0"/>
        <v>Rojo</v>
      </c>
      <c r="K15" s="104" t="s">
        <v>721</v>
      </c>
      <c r="L15" s="104">
        <f>COUNTIF($J$33:$J$34,"Rojo")</f>
        <v>0</v>
      </c>
      <c r="M15" s="104">
        <f>COUNTIF($J$33:$J$34,"Amarillo")</f>
        <v>1</v>
      </c>
      <c r="N15" s="104">
        <f>COUNTIF($J$33:$J$34,"Verde")</f>
        <v>0</v>
      </c>
      <c r="O15" s="104">
        <f>COUNTIF($J$33:$J$34,"Azul")</f>
        <v>1</v>
      </c>
      <c r="P15" s="104">
        <f t="shared" ref="P15" si="6">SUM(L15:O15)</f>
        <v>2</v>
      </c>
      <c r="Q15" s="192">
        <f t="shared" ref="Q15" si="7">((100/P15)*SUM(M15:O15)/100)</f>
        <v>1</v>
      </c>
      <c r="R15" s="191">
        <f>'S. INVESTIGACIÓN'!$W$34+'S. INVESTIGACIÓN'!$W$35</f>
        <v>130000000</v>
      </c>
      <c r="S15" s="191">
        <f>'S. INVESTIGACIÓN'!$X$34+'S. INVESTIGACIÓN'!$X$35</f>
        <v>82507534</v>
      </c>
      <c r="T15" s="193">
        <f t="shared" si="2"/>
        <v>0.63467333846153851</v>
      </c>
    </row>
    <row r="16" spans="1:20" x14ac:dyDescent="0.25">
      <c r="A16" s="653"/>
      <c r="B16" s="652"/>
      <c r="C16" s="1" t="s">
        <v>114</v>
      </c>
      <c r="D16" s="300">
        <f>'S. INVESTIGACIÓN'!AH13</f>
        <v>13</v>
      </c>
      <c r="E16" s="656"/>
      <c r="F16"/>
      <c r="I16" s="104"/>
      <c r="J16" s="104" t="str">
        <f t="shared" si="0"/>
        <v>Azul</v>
      </c>
      <c r="K16" s="104" t="s">
        <v>835</v>
      </c>
      <c r="L16" s="104">
        <f>COUNTIF($J$35:$J$40,"Rojo")</f>
        <v>1</v>
      </c>
      <c r="M16" s="104">
        <f>COUNTIF($J$35:$J$40,"Amarillo")</f>
        <v>0</v>
      </c>
      <c r="N16" s="104">
        <f>COUNTIF($J$35:$J$40,"Verde")</f>
        <v>2</v>
      </c>
      <c r="O16" s="104">
        <f>COUNTIF($J$35:$J$40,"Azul")</f>
        <v>1</v>
      </c>
      <c r="P16" s="104">
        <f t="shared" ref="P16" si="8">SUM(L16:O16)</f>
        <v>4</v>
      </c>
      <c r="Q16" s="192">
        <f t="shared" ref="Q16" si="9">((100/P16)*SUM(M16:O16)/100)</f>
        <v>0.75</v>
      </c>
      <c r="R16" s="191">
        <f>'S. INVESTIGACIÓN'!$W$36+'S. INVESTIGACIÓN'!$W$37+'S. INVESTIGACIÓN'!$W$38+'S. INVESTIGACIÓN'!$W$39+'S. INVESTIGACIÓN'!$W$40+'S. INVESTIGACIÓN'!$W$41</f>
        <v>322267490</v>
      </c>
      <c r="S16" s="191">
        <f>'S. INVESTIGACIÓN'!$X$36+'S. INVESTIGACIÓN'!$X$37+'S. INVESTIGACIÓN'!$X$38+'S. INVESTIGACIÓN'!$X$39+'S. INVESTIGACIÓN'!$X$40+'S. INVESTIGACIÓN'!$X$41</f>
        <v>175670050</v>
      </c>
      <c r="T16" s="193">
        <f t="shared" si="2"/>
        <v>0.54510633387190255</v>
      </c>
    </row>
    <row r="17" spans="1:20" ht="15" customHeight="1" x14ac:dyDescent="0.25">
      <c r="A17" s="653"/>
      <c r="B17" s="652"/>
      <c r="C17" s="1" t="s">
        <v>117</v>
      </c>
      <c r="D17" s="300">
        <f>'S. INVESTIGACIÓN'!AH14</f>
        <v>2</v>
      </c>
      <c r="E17" s="656"/>
      <c r="F17"/>
      <c r="I17" s="104"/>
      <c r="J17" s="104" t="str">
        <f t="shared" si="0"/>
        <v>Azul</v>
      </c>
      <c r="K17" s="104"/>
      <c r="L17" s="104"/>
      <c r="M17" s="104"/>
      <c r="N17" s="104"/>
      <c r="O17" s="104"/>
      <c r="P17" s="104"/>
      <c r="Q17" s="104"/>
      <c r="R17" s="191">
        <f>SUM(R8:R16)</f>
        <v>7127077871</v>
      </c>
      <c r="S17" s="191">
        <f>SUM(S8:S16)</f>
        <v>3075142429</v>
      </c>
      <c r="T17" s="104"/>
    </row>
    <row r="18" spans="1:20" x14ac:dyDescent="0.25">
      <c r="A18" s="653"/>
      <c r="B18" s="652"/>
      <c r="C18" s="1" t="s">
        <v>121</v>
      </c>
      <c r="D18" s="300">
        <f>'S. INVESTIGACIÓN'!AH15</f>
        <v>0.5</v>
      </c>
      <c r="E18" s="656"/>
      <c r="F18"/>
      <c r="I18" s="104"/>
      <c r="J18" s="104" t="str">
        <f t="shared" si="0"/>
        <v>Verde</v>
      </c>
      <c r="K18" s="104"/>
      <c r="L18" s="104"/>
      <c r="M18" s="104"/>
      <c r="N18" s="104"/>
      <c r="O18" s="104"/>
      <c r="P18" s="104"/>
      <c r="Q18" s="104"/>
      <c r="R18" s="104"/>
      <c r="S18" s="104"/>
      <c r="T18" s="104"/>
    </row>
    <row r="19" spans="1:20" ht="15" customHeight="1" x14ac:dyDescent="0.25">
      <c r="A19" s="653"/>
      <c r="B19" s="652"/>
      <c r="C19" s="1" t="s">
        <v>125</v>
      </c>
      <c r="D19" s="300">
        <f>'S. INVESTIGACIÓN'!AH16</f>
        <v>8.5714285714285715E-2</v>
      </c>
      <c r="E19" s="656"/>
      <c r="F19"/>
      <c r="I19" s="104"/>
      <c r="J19" s="104" t="str">
        <f t="shared" si="0"/>
        <v>Rojo</v>
      </c>
      <c r="K19" s="104"/>
      <c r="L19" s="104"/>
      <c r="M19" s="104"/>
      <c r="N19" s="104"/>
      <c r="O19" s="104"/>
      <c r="P19" s="104">
        <f>100/P9</f>
        <v>11.111111111111111</v>
      </c>
      <c r="Q19" s="104"/>
      <c r="R19" s="104"/>
      <c r="S19" s="104"/>
      <c r="T19" s="104"/>
    </row>
    <row r="20" spans="1:20" x14ac:dyDescent="0.25">
      <c r="A20" s="653"/>
      <c r="B20" s="652"/>
      <c r="C20" s="1" t="s">
        <v>128</v>
      </c>
      <c r="D20" s="300">
        <f>'S. INVESTIGACIÓN'!AH17</f>
        <v>0</v>
      </c>
      <c r="E20" s="656"/>
      <c r="F20"/>
      <c r="I20" s="104"/>
      <c r="J20" s="104" t="str">
        <f t="shared" si="0"/>
        <v>Rojo</v>
      </c>
      <c r="K20" s="104"/>
      <c r="L20" s="104"/>
      <c r="M20" s="104"/>
      <c r="N20" s="104"/>
      <c r="O20" s="104"/>
      <c r="P20" s="104">
        <f>+SUM(M9:O9)</f>
        <v>5</v>
      </c>
      <c r="Q20" s="104"/>
      <c r="R20" s="104"/>
      <c r="S20" s="104"/>
      <c r="T20" s="104"/>
    </row>
    <row r="21" spans="1:20" ht="15" customHeight="1" x14ac:dyDescent="0.25">
      <c r="A21" s="653"/>
      <c r="B21" s="652"/>
      <c r="C21" s="1" t="s">
        <v>131</v>
      </c>
      <c r="D21" s="300">
        <f>'S. INVESTIGACIÓN'!AH18</f>
        <v>0</v>
      </c>
      <c r="E21" s="656"/>
      <c r="F21"/>
      <c r="I21" s="104"/>
      <c r="J21" s="104" t="str">
        <f t="shared" si="0"/>
        <v>Rojo</v>
      </c>
      <c r="K21" s="104"/>
      <c r="L21" s="104"/>
      <c r="M21" s="104"/>
      <c r="N21" s="104"/>
      <c r="O21" s="104"/>
      <c r="P21" s="104">
        <f>+P20*P19</f>
        <v>55.555555555555557</v>
      </c>
      <c r="Q21" s="104"/>
      <c r="R21" s="104"/>
      <c r="S21" s="104"/>
      <c r="T21" s="104"/>
    </row>
    <row r="22" spans="1:20" ht="15" customHeight="1" x14ac:dyDescent="0.25">
      <c r="A22" s="653" t="s">
        <v>135</v>
      </c>
      <c r="B22" s="652">
        <v>0.15</v>
      </c>
      <c r="C22" s="1" t="s">
        <v>136</v>
      </c>
      <c r="D22" s="300">
        <f>'S. INVESTIGACIÓN'!AH19</f>
        <v>0.16666666666666666</v>
      </c>
      <c r="E22" s="656">
        <f>T10</f>
        <v>0.4827364375</v>
      </c>
      <c r="F22"/>
      <c r="I22" s="104"/>
      <c r="J22" s="104" t="str">
        <f t="shared" si="0"/>
        <v>Amarillo</v>
      </c>
      <c r="K22" s="104"/>
      <c r="L22" s="104"/>
      <c r="M22" s="104"/>
      <c r="N22" s="104"/>
      <c r="O22" s="104"/>
      <c r="P22" s="104"/>
      <c r="Q22" s="104"/>
      <c r="R22" s="104"/>
      <c r="S22" s="104"/>
      <c r="T22" s="104"/>
    </row>
    <row r="23" spans="1:20" x14ac:dyDescent="0.25">
      <c r="A23" s="653"/>
      <c r="B23" s="652"/>
      <c r="C23" s="1" t="s">
        <v>138</v>
      </c>
      <c r="D23" s="300">
        <f>'S. INVESTIGACIÓN'!AH20</f>
        <v>0.5</v>
      </c>
      <c r="E23" s="656"/>
      <c r="F23"/>
      <c r="I23" s="104"/>
      <c r="J23" s="104" t="str">
        <f t="shared" si="0"/>
        <v>Verde</v>
      </c>
      <c r="K23" s="104"/>
      <c r="L23" s="104"/>
      <c r="M23" s="104"/>
      <c r="N23" s="104"/>
      <c r="O23" s="104"/>
      <c r="P23" s="104"/>
      <c r="Q23" s="104"/>
      <c r="R23" s="104"/>
      <c r="S23" s="104"/>
      <c r="T23" s="104"/>
    </row>
    <row r="24" spans="1:20" x14ac:dyDescent="0.25">
      <c r="A24" s="653"/>
      <c r="B24" s="652"/>
      <c r="C24" s="1" t="s">
        <v>141</v>
      </c>
      <c r="D24" s="300">
        <f>'S. INVESTIGACIÓN'!AH21</f>
        <v>0.25</v>
      </c>
      <c r="E24" s="656"/>
      <c r="F24"/>
      <c r="I24" s="104"/>
      <c r="J24" s="104" t="str">
        <f t="shared" si="0"/>
        <v>Amarillo</v>
      </c>
      <c r="K24" s="104"/>
      <c r="L24" s="104"/>
      <c r="M24" s="104"/>
      <c r="N24" s="104"/>
      <c r="O24" s="104"/>
      <c r="P24" s="104"/>
      <c r="Q24" s="104"/>
      <c r="R24" s="104"/>
      <c r="S24" s="104"/>
      <c r="T24" s="104"/>
    </row>
    <row r="25" spans="1:20" ht="15.75" customHeight="1" x14ac:dyDescent="0.25">
      <c r="A25" s="653"/>
      <c r="B25" s="652"/>
      <c r="C25" s="1" t="s">
        <v>412</v>
      </c>
      <c r="D25" s="300">
        <f>'S. INVESTIGACIÓN'!AH22</f>
        <v>0</v>
      </c>
      <c r="E25" s="656"/>
      <c r="F25"/>
      <c r="I25" s="104"/>
      <c r="J25" s="104" t="str">
        <f t="shared" si="0"/>
        <v>Rojo</v>
      </c>
      <c r="K25" s="104"/>
      <c r="L25" s="104"/>
      <c r="M25" s="104"/>
      <c r="N25" s="104"/>
      <c r="O25" s="104"/>
      <c r="P25" s="104"/>
      <c r="Q25" s="104"/>
      <c r="R25" s="104"/>
      <c r="S25" s="104"/>
      <c r="T25" s="104"/>
    </row>
    <row r="26" spans="1:20" x14ac:dyDescent="0.25">
      <c r="A26" s="655" t="s">
        <v>143</v>
      </c>
      <c r="B26" s="652">
        <v>0.15</v>
      </c>
      <c r="C26" s="1" t="s">
        <v>144</v>
      </c>
      <c r="D26" s="300">
        <f>'S. INVESTIGACIÓN'!AH23</f>
        <v>0.3</v>
      </c>
      <c r="E26" s="656">
        <f>T11</f>
        <v>0.27925458260869568</v>
      </c>
      <c r="F26"/>
      <c r="I26" s="104"/>
      <c r="J26" s="104" t="str">
        <f t="shared" si="0"/>
        <v>Amarillo</v>
      </c>
      <c r="K26" s="104"/>
      <c r="L26" s="104"/>
      <c r="M26" s="104"/>
      <c r="N26" s="104"/>
      <c r="O26" s="104"/>
      <c r="P26" s="104"/>
      <c r="Q26" s="104"/>
      <c r="R26" s="104"/>
      <c r="S26" s="104"/>
      <c r="T26" s="104"/>
    </row>
    <row r="27" spans="1:20" x14ac:dyDescent="0.25">
      <c r="A27" s="655"/>
      <c r="B27" s="627"/>
      <c r="C27" s="1" t="s">
        <v>146</v>
      </c>
      <c r="D27" s="300">
        <f>'S. INVESTIGACIÓN'!AH24</f>
        <v>0</v>
      </c>
      <c r="E27" s="656"/>
      <c r="F27"/>
      <c r="J27" s="104" t="str">
        <f t="shared" si="0"/>
        <v>Rojo</v>
      </c>
    </row>
    <row r="28" spans="1:20" x14ac:dyDescent="0.25">
      <c r="A28" s="655" t="s">
        <v>150</v>
      </c>
      <c r="B28" s="652">
        <v>0.1</v>
      </c>
      <c r="C28" s="1" t="s">
        <v>151</v>
      </c>
      <c r="D28" s="300">
        <f>'S. INVESTIGACIÓN'!AH25</f>
        <v>0.1111111111111111</v>
      </c>
      <c r="E28" s="656">
        <f>T12</f>
        <v>0.4304039811187082</v>
      </c>
      <c r="F28"/>
      <c r="J28" s="104" t="str">
        <f t="shared" si="0"/>
        <v>Rojo</v>
      </c>
    </row>
    <row r="29" spans="1:20" x14ac:dyDescent="0.25">
      <c r="A29" s="655"/>
      <c r="B29" s="627"/>
      <c r="C29" s="1" t="s">
        <v>154</v>
      </c>
      <c r="D29" s="300">
        <f>'S. INVESTIGACIÓN'!AH26</f>
        <v>1.35</v>
      </c>
      <c r="E29" s="656"/>
      <c r="F29"/>
      <c r="J29" s="104" t="str">
        <f t="shared" si="0"/>
        <v>Azul</v>
      </c>
    </row>
    <row r="30" spans="1:20" ht="30" x14ac:dyDescent="0.25">
      <c r="A30" s="11" t="s">
        <v>160</v>
      </c>
      <c r="B30" s="7"/>
      <c r="C30" s="1" t="s">
        <v>161</v>
      </c>
      <c r="D30" s="300">
        <f>'S. INVESTIGACIÓN'!AH28</f>
        <v>3</v>
      </c>
      <c r="E30" s="310">
        <f>T13</f>
        <v>0</v>
      </c>
      <c r="F30"/>
      <c r="J30" s="104" t="str">
        <f t="shared" si="0"/>
        <v>Azul</v>
      </c>
    </row>
    <row r="31" spans="1:20" ht="33" customHeight="1" x14ac:dyDescent="0.25">
      <c r="A31" s="664" t="s">
        <v>173</v>
      </c>
      <c r="B31" s="7"/>
      <c r="C31" s="294" t="s">
        <v>174</v>
      </c>
      <c r="D31" s="300">
        <f>'S. INVESTIGACIÓN'!AH32</f>
        <v>0</v>
      </c>
      <c r="E31" s="300">
        <f>T14</f>
        <v>0</v>
      </c>
      <c r="F31"/>
      <c r="J31" s="104" t="str">
        <f t="shared" si="0"/>
        <v>Rojo</v>
      </c>
    </row>
    <row r="32" spans="1:20" ht="38.25" customHeight="1" x14ac:dyDescent="0.25">
      <c r="A32" s="665"/>
      <c r="B32" s="7"/>
      <c r="C32" s="84" t="s">
        <v>176</v>
      </c>
      <c r="D32" s="300">
        <f>'S. INVESTIGACIÓN'!AH33</f>
        <v>0</v>
      </c>
      <c r="E32" s="300"/>
      <c r="F32"/>
      <c r="J32" s="104" t="str">
        <f t="shared" si="0"/>
        <v>Rojo</v>
      </c>
    </row>
    <row r="33" spans="1:10" ht="44.25" customHeight="1" x14ac:dyDescent="0.25">
      <c r="A33" s="595" t="s">
        <v>180</v>
      </c>
      <c r="B33" s="301">
        <v>0.1</v>
      </c>
      <c r="C33" s="1" t="s">
        <v>181</v>
      </c>
      <c r="D33" s="300">
        <f>'S. INVESTIGACIÓN'!AH34</f>
        <v>1</v>
      </c>
      <c r="E33" s="551">
        <f>T15</f>
        <v>0.63467333846153851</v>
      </c>
      <c r="F33"/>
      <c r="J33" s="104" t="str">
        <f t="shared" si="0"/>
        <v>Azul</v>
      </c>
    </row>
    <row r="34" spans="1:10" ht="29.25" customHeight="1" x14ac:dyDescent="0.25">
      <c r="A34" s="597"/>
      <c r="B34" s="301"/>
      <c r="C34" s="1" t="s">
        <v>184</v>
      </c>
      <c r="D34" s="300">
        <f>'S. INVESTIGACIÓN'!AH35</f>
        <v>0.25</v>
      </c>
      <c r="E34" s="552"/>
      <c r="F34"/>
      <c r="J34" s="104" t="str">
        <f t="shared" si="0"/>
        <v>Amarillo</v>
      </c>
    </row>
    <row r="35" spans="1:10" ht="18.75" customHeight="1" x14ac:dyDescent="0.25">
      <c r="A35" s="541" t="s">
        <v>187</v>
      </c>
      <c r="B35" s="301">
        <v>0.1</v>
      </c>
      <c r="C35" s="1" t="s">
        <v>188</v>
      </c>
      <c r="D35" s="300">
        <f>'S. INVESTIGACIÓN'!AH36</f>
        <v>0.5</v>
      </c>
      <c r="E35" s="551">
        <f>T16</f>
        <v>0.54510633387190255</v>
      </c>
      <c r="F35"/>
      <c r="J35" s="104" t="str">
        <f t="shared" si="0"/>
        <v>Verde</v>
      </c>
    </row>
    <row r="36" spans="1:10" ht="18.75" customHeight="1" x14ac:dyDescent="0.25">
      <c r="A36" s="542"/>
      <c r="B36" s="295"/>
      <c r="C36" s="1" t="s">
        <v>191</v>
      </c>
      <c r="D36" s="300">
        <f>'S. INVESTIGACIÓN'!AH37</f>
        <v>0</v>
      </c>
      <c r="E36" s="553"/>
      <c r="F36"/>
      <c r="J36" s="104" t="str">
        <f t="shared" si="0"/>
        <v>Rojo</v>
      </c>
    </row>
    <row r="37" spans="1:10" ht="18.75" customHeight="1" x14ac:dyDescent="0.25">
      <c r="A37" s="542"/>
      <c r="B37" s="295"/>
      <c r="C37" s="1" t="s">
        <v>194</v>
      </c>
      <c r="D37" s="300">
        <f>'S. INVESTIGACIÓN'!AH38</f>
        <v>0.4375</v>
      </c>
      <c r="E37" s="553"/>
      <c r="F37"/>
      <c r="J37" s="104" t="str">
        <f t="shared" si="0"/>
        <v>Verde</v>
      </c>
    </row>
    <row r="38" spans="1:10" ht="18.75" customHeight="1" x14ac:dyDescent="0.25">
      <c r="A38" s="542"/>
      <c r="B38" s="295"/>
      <c r="C38" s="1" t="s">
        <v>196</v>
      </c>
      <c r="D38" s="300">
        <f>'S. INVESTIGACIÓN'!AH39</f>
        <v>1</v>
      </c>
      <c r="E38" s="553"/>
      <c r="F38"/>
      <c r="J38" s="104" t="str">
        <f>IF(D40&lt;16%,"Rojo",IF(D40&lt;37%,"Amarillo",IF(D40&lt;50.1%,"Verde","Azul")))</f>
        <v>Azul</v>
      </c>
    </row>
    <row r="39" spans="1:10" ht="18.75" customHeight="1" x14ac:dyDescent="0.25">
      <c r="A39" s="542"/>
      <c r="B39" s="295"/>
      <c r="C39" s="1" t="s">
        <v>199</v>
      </c>
      <c r="D39" s="300">
        <f>'S. INVESTIGACIÓN'!AH40</f>
        <v>0.5</v>
      </c>
      <c r="E39" s="553"/>
      <c r="F39"/>
      <c r="J39" s="104"/>
    </row>
    <row r="40" spans="1:10" ht="18.75" customHeight="1" x14ac:dyDescent="0.25">
      <c r="A40" s="543"/>
      <c r="B40" s="295"/>
      <c r="C40" s="1" t="s">
        <v>202</v>
      </c>
      <c r="D40" s="300">
        <f>'S. INVESTIGACIÓN'!AH41</f>
        <v>1</v>
      </c>
      <c r="E40" s="552"/>
      <c r="F40"/>
      <c r="J40" s="104"/>
    </row>
    <row r="41" spans="1:10" ht="15" customHeight="1" x14ac:dyDescent="0.25">
      <c r="A41" s="648" t="s">
        <v>499</v>
      </c>
      <c r="B41" s="648"/>
      <c r="C41" s="648"/>
      <c r="D41" s="648"/>
      <c r="E41" s="195">
        <f>C55</f>
        <v>0.35874588497640852</v>
      </c>
      <c r="F41"/>
      <c r="J41" s="104"/>
    </row>
    <row r="42" spans="1:10" x14ac:dyDescent="0.25">
      <c r="F42"/>
      <c r="J42" s="104"/>
    </row>
    <row r="43" spans="1:10" ht="15" customHeight="1" x14ac:dyDescent="0.25">
      <c r="F43"/>
      <c r="J43" s="104"/>
    </row>
    <row r="44" spans="1:10" ht="15" customHeight="1" x14ac:dyDescent="0.25">
      <c r="J44" s="104"/>
    </row>
    <row r="45" spans="1:10" ht="30" x14ac:dyDescent="0.25">
      <c r="A45" s="299" t="s">
        <v>489</v>
      </c>
      <c r="B45" s="299" t="s">
        <v>729</v>
      </c>
      <c r="C45" s="299" t="s">
        <v>731</v>
      </c>
      <c r="D45" s="299" t="s">
        <v>7</v>
      </c>
    </row>
    <row r="46" spans="1:10" ht="45" customHeight="1" x14ac:dyDescent="0.25">
      <c r="A46" s="11" t="str">
        <f>A8</f>
        <v>SI-PY1.  Fortalecimiento de las capacidades de investigación, desarrollo e innovación.</v>
      </c>
      <c r="B46" s="300">
        <f t="shared" ref="B46:B54" si="10">Q8</f>
        <v>1</v>
      </c>
      <c r="C46" s="300">
        <f>E8</f>
        <v>0.40459828964326655</v>
      </c>
      <c r="D46" s="300">
        <f t="shared" ref="D46:D54" si="11">(B46+C46)/2</f>
        <v>0.70229914482163325</v>
      </c>
    </row>
    <row r="47" spans="1:10" ht="30" x14ac:dyDescent="0.25">
      <c r="A47" s="11" t="str">
        <f>A13</f>
        <v>SI-PY2.  Calidad Académica y formación en Investigación.</v>
      </c>
      <c r="B47" s="300">
        <f t="shared" si="10"/>
        <v>0.55555555555555558</v>
      </c>
      <c r="C47" s="300">
        <f>E13</f>
        <v>0.45194000158356507</v>
      </c>
      <c r="D47" s="300">
        <f t="shared" si="11"/>
        <v>0.50374777856956032</v>
      </c>
    </row>
    <row r="48" spans="1:10" ht="45" customHeight="1" x14ac:dyDescent="0.25">
      <c r="A48" s="11" t="str">
        <f>A22</f>
        <v>SI-PY3. Calidad Académica y formación a través de la Investigación</v>
      </c>
      <c r="B48" s="300">
        <f t="shared" si="10"/>
        <v>0.75</v>
      </c>
      <c r="C48" s="300">
        <f>E22</f>
        <v>0.4827364375</v>
      </c>
      <c r="D48" s="300">
        <f t="shared" si="11"/>
        <v>0.61636821875000003</v>
      </c>
    </row>
    <row r="49" spans="1:20" ht="30" x14ac:dyDescent="0.25">
      <c r="A49" s="11" t="str">
        <f>A26</f>
        <v>SI-PY4.  Calidad Académica y ejecución de Investigación.</v>
      </c>
      <c r="B49" s="300">
        <f t="shared" si="10"/>
        <v>0.5</v>
      </c>
      <c r="C49" s="300">
        <f>E26</f>
        <v>0.27925458260869568</v>
      </c>
      <c r="D49" s="300">
        <f t="shared" si="11"/>
        <v>0.38962729130434781</v>
      </c>
    </row>
    <row r="50" spans="1:20" ht="30" x14ac:dyDescent="0.25">
      <c r="A50" s="11" t="str">
        <f>A28</f>
        <v>SI-PY5. Calidad Académica y gestión de Investigación.</v>
      </c>
      <c r="B50" s="300">
        <f t="shared" si="10"/>
        <v>0.5</v>
      </c>
      <c r="C50" s="300">
        <f>E28</f>
        <v>0.4304039811187082</v>
      </c>
      <c r="D50" s="300">
        <f t="shared" si="11"/>
        <v>0.46520199055935407</v>
      </c>
    </row>
    <row r="51" spans="1:20" ht="30" x14ac:dyDescent="0.25">
      <c r="A51" s="11" t="str">
        <f>A30</f>
        <v>SI-PY6.  Articulación del Sistema Integrado de Información (TICS).</v>
      </c>
      <c r="B51" s="300">
        <f t="shared" si="10"/>
        <v>0.5</v>
      </c>
      <c r="C51" s="300">
        <f>E30</f>
        <v>0</v>
      </c>
      <c r="D51" s="300">
        <f t="shared" si="11"/>
        <v>0.25</v>
      </c>
    </row>
    <row r="52" spans="1:20" ht="60" x14ac:dyDescent="0.25">
      <c r="A52" s="11" t="str">
        <f>A31</f>
        <v>SI-PY7.  Evaluación, dotación y consolidación de los Centros de Documentación, archivística y bases de datos.</v>
      </c>
      <c r="B52" s="300">
        <f t="shared" si="10"/>
        <v>0</v>
      </c>
      <c r="C52" s="300">
        <f>E31</f>
        <v>0</v>
      </c>
      <c r="D52" s="300">
        <f t="shared" si="11"/>
        <v>0</v>
      </c>
    </row>
    <row r="53" spans="1:20" ht="60" x14ac:dyDescent="0.25">
      <c r="A53" s="11" t="str">
        <f>A33</f>
        <v>SI-PY8.  Creación y Fortalecimiento de Centros, Institutos de investigación, desarrollo y vigilancia Tecnológica e Innovación.</v>
      </c>
      <c r="B53" s="300">
        <f t="shared" si="10"/>
        <v>1</v>
      </c>
      <c r="C53" s="300">
        <f>E33</f>
        <v>0.63467333846153851</v>
      </c>
      <c r="D53" s="300">
        <f t="shared" si="11"/>
        <v>0.81733666923076931</v>
      </c>
    </row>
    <row r="54" spans="1:20" ht="45" x14ac:dyDescent="0.25">
      <c r="A54" s="11" t="str">
        <f>A35</f>
        <v>SI-PY9.  Articulación y fortalecimiento de las publicaciones Científicas  y Académicas.</v>
      </c>
      <c r="B54" s="300">
        <f t="shared" si="10"/>
        <v>0.75</v>
      </c>
      <c r="C54" s="216">
        <f>E35</f>
        <v>0.54510633387190255</v>
      </c>
      <c r="D54" s="300">
        <f t="shared" si="11"/>
        <v>0.64755316693595133</v>
      </c>
    </row>
    <row r="55" spans="1:20" x14ac:dyDescent="0.25">
      <c r="A55" s="297" t="s">
        <v>728</v>
      </c>
      <c r="B55" s="216">
        <f>AVERAGE(B46:B54)</f>
        <v>0.61728395061728392</v>
      </c>
      <c r="C55" s="216">
        <f>AVERAGE(C46:C54)</f>
        <v>0.35874588497640852</v>
      </c>
      <c r="D55" s="216">
        <f>AVERAGE(D46:D54)</f>
        <v>0.48801491779684625</v>
      </c>
    </row>
    <row r="58" spans="1:20" x14ac:dyDescent="0.25">
      <c r="A58" s="657" t="s">
        <v>850</v>
      </c>
      <c r="B58" s="657"/>
      <c r="C58" s="657"/>
      <c r="D58" s="657"/>
      <c r="E58" s="657"/>
    </row>
    <row r="59" spans="1:20" ht="19.5" x14ac:dyDescent="0.3">
      <c r="A59" s="658" t="s">
        <v>498</v>
      </c>
      <c r="B59" s="659"/>
      <c r="C59" s="659"/>
      <c r="D59" s="659"/>
      <c r="E59" s="660"/>
    </row>
    <row r="60" spans="1:20" ht="45" x14ac:dyDescent="0.25">
      <c r="A60" s="355" t="s">
        <v>489</v>
      </c>
      <c r="B60" s="342" t="s">
        <v>490</v>
      </c>
      <c r="C60" s="355" t="s">
        <v>491</v>
      </c>
      <c r="D60" s="342" t="s">
        <v>492</v>
      </c>
      <c r="E60" s="342" t="s">
        <v>494</v>
      </c>
      <c r="J60" s="103"/>
      <c r="K60" s="103"/>
      <c r="L60" s="103" t="s">
        <v>710</v>
      </c>
      <c r="M60" s="103" t="s">
        <v>711</v>
      </c>
      <c r="N60" s="103" t="s">
        <v>712</v>
      </c>
      <c r="O60" s="103" t="s">
        <v>713</v>
      </c>
      <c r="P60" s="103" t="s">
        <v>714</v>
      </c>
      <c r="Q60" s="103"/>
      <c r="R60" s="190" t="s">
        <v>715</v>
      </c>
      <c r="S60" s="190" t="s">
        <v>716</v>
      </c>
      <c r="T60" s="103"/>
    </row>
    <row r="61" spans="1:20" x14ac:dyDescent="0.25">
      <c r="A61" s="653" t="s">
        <v>86</v>
      </c>
      <c r="B61" s="652">
        <v>0.2</v>
      </c>
      <c r="C61" s="1" t="s">
        <v>87</v>
      </c>
      <c r="D61" s="367">
        <f>'S. INVESTIGACIÓN'!AV5</f>
        <v>0</v>
      </c>
      <c r="E61" s="661">
        <f>T61</f>
        <v>0.85682420643920842</v>
      </c>
      <c r="J61" s="104" t="str">
        <f>IF(D61&lt;25%,"Rojo",IF(D61&lt;56%,"Amarillo",IF(D61&lt;74.1%,"Verde","Azul")))</f>
        <v>Rojo</v>
      </c>
      <c r="K61" s="104" t="s">
        <v>704</v>
      </c>
      <c r="L61" s="104">
        <f>COUNTIF($J$61:$J$65,"Rojo")</f>
        <v>3</v>
      </c>
      <c r="M61" s="104">
        <f>COUNTIF($J$61:$J$65,"Amarillo")</f>
        <v>1</v>
      </c>
      <c r="N61" s="104">
        <f>COUNTIF($J$61:$J$65,"Verde")</f>
        <v>0</v>
      </c>
      <c r="O61" s="104">
        <f>COUNTIF($J$61:$J$65,"Azul")</f>
        <v>1</v>
      </c>
      <c r="P61" s="104">
        <f>SUM(L61:O61)</f>
        <v>5</v>
      </c>
      <c r="Q61" s="192">
        <f t="shared" ref="Q61" si="12">((100/P61)*SUM(M61:O61)/100)</f>
        <v>0.4</v>
      </c>
      <c r="R61" s="191">
        <f>'S. INVESTIGACIÓN'!$AK$5+'S. INVESTIGACIÓN'!$AK$6+'S. INVESTIGACIÓN'!$AK$7+'S. INVESTIGACIÓN'!$AK$8+'S. INVESTIGACIÓN'!$AK$9</f>
        <v>2373305826</v>
      </c>
      <c r="S61" s="191">
        <f>'S. INVESTIGACIÓN'!$AL$5+'S. INVESTIGACIÓN'!$AL$6+'S. INVESTIGACIÓN'!$AL$7+'S. INVESTIGACIÓN'!$AL$8+'S. INVESTIGACIÓN'!$AL$9</f>
        <v>2033505881</v>
      </c>
      <c r="T61" s="193">
        <f>IFERROR(S61/R61,0)</f>
        <v>0.85682420643920842</v>
      </c>
    </row>
    <row r="62" spans="1:20" x14ac:dyDescent="0.25">
      <c r="A62" s="653"/>
      <c r="B62" s="627"/>
      <c r="C62" s="1" t="s">
        <v>91</v>
      </c>
      <c r="D62" s="367">
        <f>'S. INVESTIGACIÓN'!AV6</f>
        <v>0</v>
      </c>
      <c r="E62" s="662"/>
      <c r="J62" s="104" t="str">
        <f t="shared" ref="J62:J97" si="13">IF(D62&lt;25%,"Rojo",IF(D62&lt;56%,"Amarillo",IF(D62&lt;74.1%,"Verde","Azul")))</f>
        <v>Rojo</v>
      </c>
      <c r="K62" s="104" t="s">
        <v>705</v>
      </c>
      <c r="L62" s="104">
        <f>COUNTIF($J$66:$J$74,"Rojo")</f>
        <v>5</v>
      </c>
      <c r="M62" s="104">
        <f>COUNTIF($J$66:$J$74,"Amarillo")</f>
        <v>2</v>
      </c>
      <c r="N62" s="104">
        <f>COUNTIF($J$66:$J$74,"Verde")</f>
        <v>0</v>
      </c>
      <c r="O62" s="104">
        <f>COUNTIF($J$66:$J$74,"Azul")</f>
        <v>2</v>
      </c>
      <c r="P62" s="104">
        <f>SUM(L62:O62)</f>
        <v>9</v>
      </c>
      <c r="Q62" s="224">
        <f>((100/P62)*SUM(M62:O62)/100)</f>
        <v>0.44444444444444442</v>
      </c>
      <c r="R62" s="191">
        <f>'S. INVESTIGACIÓN'!$AK$10+'S. INVESTIGACIÓN'!$AK$11+'S. INVESTIGACIÓN'!$AK$12+'S. INVESTIGACIÓN'!$AK$13+'S. INVESTIGACIÓN'!$AK$14+'S. INVESTIGACIÓN'!$AK$15+'S. INVESTIGACIÓN'!$AK$16+'S. INVESTIGACIÓN'!$AK$17+'S. INVESTIGACIÓN'!$AK$18</f>
        <v>550946741</v>
      </c>
      <c r="S62" s="191">
        <f>'S. INVESTIGACIÓN'!$AL$10+'S. INVESTIGACIÓN'!$AL$11+'S. INVESTIGACIÓN'!$AL$12+'S. INVESTIGACIÓN'!$AL$13+'S. INVESTIGACIÓN'!$AL$14+'S. INVESTIGACIÓN'!$AL$15+'S. INVESTIGACIÓN'!$AL$16+'S. INVESTIGACIÓN'!$AL$17+'S. INVESTIGACIÓN'!$AL$18</f>
        <v>420469119</v>
      </c>
      <c r="T62" s="193">
        <f t="shared" ref="T62:T69" si="14">IFERROR(S62/R62,0)</f>
        <v>0.7631756170057824</v>
      </c>
    </row>
    <row r="63" spans="1:20" x14ac:dyDescent="0.25">
      <c r="A63" s="653"/>
      <c r="B63" s="627"/>
      <c r="C63" s="339" t="s">
        <v>94</v>
      </c>
      <c r="D63" s="367">
        <f>'S. INVESTIGACIÓN'!AV7</f>
        <v>1.75</v>
      </c>
      <c r="E63" s="662"/>
      <c r="J63" s="104" t="str">
        <f t="shared" si="13"/>
        <v>Azul</v>
      </c>
      <c r="K63" s="104" t="s">
        <v>706</v>
      </c>
      <c r="L63" s="104">
        <f>COUNTIF($J$75:$J$78,"Rojo")</f>
        <v>1</v>
      </c>
      <c r="M63" s="104">
        <f>COUNTIF($J$75:$J$78,"Amarillo")</f>
        <v>2</v>
      </c>
      <c r="N63" s="104">
        <f>COUNTIF($J$75:$J$78,"Verde")</f>
        <v>0</v>
      </c>
      <c r="O63" s="104">
        <f>COUNTIF($J$75:$J$78,"Azul")</f>
        <v>1</v>
      </c>
      <c r="P63" s="104">
        <f t="shared" ref="P63:P69" si="15">SUM(L63:O63)</f>
        <v>4</v>
      </c>
      <c r="Q63" s="192">
        <f t="shared" ref="Q63:Q69" si="16">((100/P63)*SUM(M63:O63)/100)</f>
        <v>0.75</v>
      </c>
      <c r="R63" s="191">
        <f>'S. INVESTIGACIÓN'!$AK$19+'S. INVESTIGACIÓN'!$AK$20+'S. INVESTIGACIÓN'!$AK$21+'S. INVESTIGACIÓN'!$AK$22</f>
        <v>224000000</v>
      </c>
      <c r="S63" s="191">
        <f>'S. INVESTIGACIÓN'!$AL$19+'S. INVESTIGACIÓN'!$AL$20+'S. INVESTIGACIÓN'!$AL$21+'S. INVESTIGACIÓN'!$AL$22</f>
        <v>145358510</v>
      </c>
      <c r="T63" s="193">
        <f t="shared" si="14"/>
        <v>0.64892191964285717</v>
      </c>
    </row>
    <row r="64" spans="1:20" x14ac:dyDescent="0.25">
      <c r="A64" s="653"/>
      <c r="B64" s="627"/>
      <c r="C64" s="1" t="s">
        <v>98</v>
      </c>
      <c r="D64" s="367">
        <f>'S. INVESTIGACIÓN'!AV8</f>
        <v>0</v>
      </c>
      <c r="E64" s="662"/>
      <c r="J64" s="104" t="str">
        <f t="shared" si="13"/>
        <v>Rojo</v>
      </c>
      <c r="K64" s="104" t="s">
        <v>707</v>
      </c>
      <c r="L64" s="104">
        <f>COUNTIF($J$79:$J$80,"Rojo")</f>
        <v>1</v>
      </c>
      <c r="M64" s="104">
        <f>COUNTIF($J$79:$J$80,"Amarillo")</f>
        <v>1</v>
      </c>
      <c r="N64" s="104">
        <f>COUNTIF($J$79:$J$80,"Verde")</f>
        <v>0</v>
      </c>
      <c r="O64" s="104">
        <f>COUNTIF($J$79:$J$80,"Azul")</f>
        <v>0</v>
      </c>
      <c r="P64" s="104">
        <f t="shared" si="15"/>
        <v>2</v>
      </c>
      <c r="Q64" s="192">
        <f t="shared" si="16"/>
        <v>0.5</v>
      </c>
      <c r="R64" s="191">
        <f>'S. INVESTIGACIÓN'!$AK$23+'S. INVESTIGACIÓN'!$AK$24</f>
        <v>115000000</v>
      </c>
      <c r="S64" s="191">
        <f>'S. INVESTIGACIÓN'!$AL$23+'S. INVESTIGACIÓN'!$AL$24</f>
        <v>113788818</v>
      </c>
      <c r="T64" s="193">
        <f t="shared" si="14"/>
        <v>0.98946798260869562</v>
      </c>
    </row>
    <row r="65" spans="1:20" x14ac:dyDescent="0.25">
      <c r="A65" s="653"/>
      <c r="B65" s="627"/>
      <c r="C65" s="1" t="s">
        <v>101</v>
      </c>
      <c r="D65" s="367">
        <f>'S. INVESTIGACIÓN'!AV9</f>
        <v>0.55000000000000004</v>
      </c>
      <c r="E65" s="663"/>
      <c r="J65" s="104" t="str">
        <f t="shared" si="13"/>
        <v>Amarillo</v>
      </c>
      <c r="K65" s="104" t="s">
        <v>708</v>
      </c>
      <c r="L65" s="104">
        <f>COUNTIF($J$81:$J$83,"Rojo")</f>
        <v>2</v>
      </c>
      <c r="M65" s="104">
        <f>COUNTIF($J$81:$J$83,"Amarillo")</f>
        <v>0</v>
      </c>
      <c r="N65" s="104">
        <f>COUNTIF($J$81:$J$83,"Verde")</f>
        <v>0</v>
      </c>
      <c r="O65" s="104">
        <f>COUNTIF($J$81:$J$83,"Azul")</f>
        <v>1</v>
      </c>
      <c r="P65" s="104">
        <f t="shared" si="15"/>
        <v>3</v>
      </c>
      <c r="Q65" s="192">
        <f t="shared" si="16"/>
        <v>0.33333333333333337</v>
      </c>
      <c r="R65" s="191">
        <f>'S. INVESTIGACIÓN'!$AK$25+'S. INVESTIGACIÓN'!$AK$26+'S. INVESTIGACIÓN'!$AK$27</f>
        <v>3409557814</v>
      </c>
      <c r="S65" s="191">
        <f>'S. INVESTIGACIÓN'!$AL$25+'S. INVESTIGACIÓN'!$AL$26+'S. INVESTIGACIÓN'!$AL$27</f>
        <v>2082457244</v>
      </c>
      <c r="T65" s="193">
        <f t="shared" si="14"/>
        <v>0.61077047453168654</v>
      </c>
    </row>
    <row r="66" spans="1:20" x14ac:dyDescent="0.25">
      <c r="A66" s="653" t="s">
        <v>104</v>
      </c>
      <c r="B66" s="652">
        <v>0.2</v>
      </c>
      <c r="C66" s="1" t="s">
        <v>105</v>
      </c>
      <c r="D66" s="367">
        <f>'S. INVESTIGACIÓN'!AV10</f>
        <v>0</v>
      </c>
      <c r="E66" s="661">
        <f>T62</f>
        <v>0.7631756170057824</v>
      </c>
      <c r="J66" s="104" t="str">
        <f t="shared" si="13"/>
        <v>Rojo</v>
      </c>
      <c r="K66" s="104" t="s">
        <v>717</v>
      </c>
      <c r="L66" s="104">
        <f>COUNTIF($J$84:$J$87,"Rojo")</f>
        <v>4</v>
      </c>
      <c r="M66" s="104">
        <f>COUNTIF($J$84:$J$87,"Amarillo")</f>
        <v>0</v>
      </c>
      <c r="N66" s="104">
        <f>COUNTIF($J$84:$J$87,"Verde")</f>
        <v>0</v>
      </c>
      <c r="O66" s="104">
        <f>COUNTIF($J$84:$J$87,"Azul")</f>
        <v>0</v>
      </c>
      <c r="P66" s="104">
        <f t="shared" si="15"/>
        <v>4</v>
      </c>
      <c r="Q66" s="192">
        <f t="shared" si="16"/>
        <v>0</v>
      </c>
      <c r="R66" s="191">
        <f>'S. INVESTIGACIÓN'!$AK$28+'S. INVESTIGACIÓN'!$AK$29+'S. INVESTIGACIÓN'!$AK$30+'S. INVESTIGACIÓN'!$AK$31</f>
        <v>1000000</v>
      </c>
      <c r="S66" s="191">
        <f>'S. INVESTIGACIÓN'!$AL$28+'S. INVESTIGACIÓN'!$AL$29+'S. INVESTIGACIÓN'!$AL$30+'S. INVESTIGACIÓN'!$AL$31</f>
        <v>0</v>
      </c>
      <c r="T66" s="193">
        <f t="shared" si="14"/>
        <v>0</v>
      </c>
    </row>
    <row r="67" spans="1:20" x14ac:dyDescent="0.25">
      <c r="A67" s="653"/>
      <c r="B67" s="652"/>
      <c r="C67" s="1" t="s">
        <v>108</v>
      </c>
      <c r="D67" s="367">
        <f>'S. INVESTIGACIÓN'!AV11</f>
        <v>0</v>
      </c>
      <c r="E67" s="662"/>
      <c r="J67" s="104" t="str">
        <f t="shared" si="13"/>
        <v>Rojo</v>
      </c>
      <c r="K67" s="104" t="s">
        <v>709</v>
      </c>
      <c r="L67" s="104">
        <f>COUNTIF($J$88:$J$89,"Rojo")</f>
        <v>2</v>
      </c>
      <c r="M67" s="104">
        <f>COUNTIF($J$88:$J$8931,"Amarillo")</f>
        <v>3</v>
      </c>
      <c r="N67" s="104">
        <f>COUNTIF($J$88:$J$89,"Verde")</f>
        <v>0</v>
      </c>
      <c r="O67" s="104">
        <f>COUNTIF($J$88:$J$89,"Azul")</f>
        <v>0</v>
      </c>
      <c r="P67" s="104">
        <f t="shared" si="15"/>
        <v>5</v>
      </c>
      <c r="Q67" s="192">
        <f t="shared" si="16"/>
        <v>0.6</v>
      </c>
      <c r="R67" s="191">
        <f>'S. INVESTIGACIÓN'!$AK$32+'S. INVESTIGACIÓN'!$AK$33</f>
        <v>1000000</v>
      </c>
      <c r="S67" s="191">
        <f>'S. INVESTIGACIÓN'!$AL$32+'S. INVESTIGACIÓN'!$AL$33</f>
        <v>0</v>
      </c>
      <c r="T67" s="193">
        <f t="shared" si="14"/>
        <v>0</v>
      </c>
    </row>
    <row r="68" spans="1:20" x14ac:dyDescent="0.25">
      <c r="A68" s="653"/>
      <c r="B68" s="652"/>
      <c r="C68" s="1" t="s">
        <v>112</v>
      </c>
      <c r="D68" s="367">
        <f>'S. INVESTIGACIÓN'!AV12</f>
        <v>1</v>
      </c>
      <c r="E68" s="662"/>
      <c r="J68" s="104" t="str">
        <f t="shared" si="13"/>
        <v>Azul</v>
      </c>
      <c r="K68" s="104" t="s">
        <v>721</v>
      </c>
      <c r="L68" s="104">
        <f>COUNTIF($J$90:$J$91,"Rojo")</f>
        <v>1</v>
      </c>
      <c r="M68" s="104">
        <f>COUNTIF($J$90:$J$91,"Amarillo")</f>
        <v>1</v>
      </c>
      <c r="N68" s="104">
        <f>COUNTIF($J$90:$J$91,"Verde")</f>
        <v>0</v>
      </c>
      <c r="O68" s="104">
        <f>COUNTIF($J$90:$J$91,"Azul")</f>
        <v>0</v>
      </c>
      <c r="P68" s="104">
        <f t="shared" si="15"/>
        <v>2</v>
      </c>
      <c r="Q68" s="192">
        <f t="shared" si="16"/>
        <v>0.5</v>
      </c>
      <c r="R68" s="191">
        <f>'S. INVESTIGACIÓN'!$AK$34+'S. INVESTIGACIÓN'!$AK$35</f>
        <v>130000000</v>
      </c>
      <c r="S68" s="191">
        <f>'S. INVESTIGACIÓN'!$AL$34+'S. INVESTIGACIÓN'!$AL$35</f>
        <v>101522119</v>
      </c>
      <c r="T68" s="193">
        <f t="shared" si="14"/>
        <v>0.78093937692307691</v>
      </c>
    </row>
    <row r="69" spans="1:20" x14ac:dyDescent="0.25">
      <c r="A69" s="653"/>
      <c r="B69" s="652"/>
      <c r="C69" s="1" t="s">
        <v>114</v>
      </c>
      <c r="D69" s="367">
        <f>'S. INVESTIGACIÓN'!AV13</f>
        <v>0</v>
      </c>
      <c r="E69" s="662"/>
      <c r="J69" s="104" t="str">
        <f t="shared" si="13"/>
        <v>Rojo</v>
      </c>
      <c r="K69" s="104" t="s">
        <v>835</v>
      </c>
      <c r="L69" s="104">
        <f>COUNTIF($J$92:$J$97,"Rojo")</f>
        <v>3</v>
      </c>
      <c r="M69" s="104">
        <f>COUNTIF($J$92:$J$97,"Amarillo")</f>
        <v>2</v>
      </c>
      <c r="N69" s="104">
        <f>COUNTIF($J$92:$J$97,"Verde")</f>
        <v>0</v>
      </c>
      <c r="O69" s="104">
        <f>COUNTIF($J$92:$J$97,"Azul")</f>
        <v>1</v>
      </c>
      <c r="P69" s="104">
        <f t="shared" si="15"/>
        <v>6</v>
      </c>
      <c r="Q69" s="192">
        <f t="shared" si="16"/>
        <v>0.5</v>
      </c>
      <c r="R69" s="191">
        <f>'S. INVESTIGACIÓN'!$AK$36+'S. INVESTIGACIÓN'!$AK$37+'S. INVESTIGACIÓN'!$AK$38+'S. INVESTIGACIÓN'!$AK$39+'S. INVESTIGACIÓN'!$AK$40+'S. INVESTIGACIÓN'!$AK$41</f>
        <v>322267490</v>
      </c>
      <c r="S69" s="191">
        <f>'S. INVESTIGACIÓN'!$AL$36+'S. INVESTIGACIÓN'!$AL$37+'S. INVESTIGACIÓN'!$AL$38+'S. INVESTIGACIÓN'!$AL$39+'S. INVESTIGACIÓN'!$AL$40+'S. INVESTIGACIÓN'!$AL$41</f>
        <v>256267991</v>
      </c>
      <c r="T69" s="193">
        <f t="shared" si="14"/>
        <v>0.79520273981095646</v>
      </c>
    </row>
    <row r="70" spans="1:20" x14ac:dyDescent="0.25">
      <c r="A70" s="653"/>
      <c r="B70" s="652"/>
      <c r="C70" s="1" t="s">
        <v>117</v>
      </c>
      <c r="D70" s="367">
        <f>'S. INVESTIGACIÓN'!AV14</f>
        <v>0.33333333333333331</v>
      </c>
      <c r="E70" s="662"/>
      <c r="J70" s="104" t="str">
        <f t="shared" si="13"/>
        <v>Amarillo</v>
      </c>
      <c r="K70" s="104"/>
      <c r="L70" s="104"/>
      <c r="M70" s="104"/>
      <c r="N70" s="104"/>
      <c r="O70" s="104"/>
      <c r="P70" s="104"/>
      <c r="Q70" s="104"/>
      <c r="R70" s="191">
        <f>SUM(R61:R69)</f>
        <v>7127077871</v>
      </c>
      <c r="S70" s="191">
        <f>SUM(S61:S69)</f>
        <v>5153369682</v>
      </c>
      <c r="T70" s="104"/>
    </row>
    <row r="71" spans="1:20" x14ac:dyDescent="0.25">
      <c r="A71" s="653"/>
      <c r="B71" s="652"/>
      <c r="C71" s="1" t="s">
        <v>121</v>
      </c>
      <c r="D71" s="367">
        <f>'S. INVESTIGACIÓN'!AV15</f>
        <v>0.25</v>
      </c>
      <c r="E71" s="662"/>
      <c r="J71" s="104" t="str">
        <f t="shared" si="13"/>
        <v>Amarillo</v>
      </c>
      <c r="K71" s="104"/>
      <c r="L71" s="104"/>
      <c r="M71" s="104"/>
      <c r="N71" s="104"/>
      <c r="O71" s="104"/>
      <c r="P71" s="104"/>
      <c r="Q71" s="104"/>
      <c r="R71" s="104"/>
      <c r="S71" s="104"/>
      <c r="T71" s="104"/>
    </row>
    <row r="72" spans="1:20" x14ac:dyDescent="0.25">
      <c r="A72" s="653"/>
      <c r="B72" s="652"/>
      <c r="C72" s="1" t="s">
        <v>125</v>
      </c>
      <c r="D72" s="367">
        <f>'S. INVESTIGACIÓN'!AV16</f>
        <v>0.11428571428571428</v>
      </c>
      <c r="E72" s="662"/>
      <c r="J72" s="104" t="str">
        <f t="shared" si="13"/>
        <v>Rojo</v>
      </c>
      <c r="K72" s="104"/>
      <c r="L72" s="104"/>
      <c r="M72" s="104"/>
      <c r="N72" s="104"/>
      <c r="O72" s="104"/>
      <c r="P72" s="104">
        <f>100/P62</f>
        <v>11.111111111111111</v>
      </c>
      <c r="Q72" s="104"/>
      <c r="R72" s="104"/>
      <c r="S72" s="104"/>
      <c r="T72" s="104"/>
    </row>
    <row r="73" spans="1:20" x14ac:dyDescent="0.25">
      <c r="A73" s="653"/>
      <c r="B73" s="652"/>
      <c r="C73" s="1" t="s">
        <v>128</v>
      </c>
      <c r="D73" s="367">
        <f>'S. INVESTIGACIÓN'!AV17</f>
        <v>3</v>
      </c>
      <c r="E73" s="662"/>
      <c r="J73" s="104" t="str">
        <f t="shared" si="13"/>
        <v>Azul</v>
      </c>
      <c r="K73" s="104"/>
      <c r="L73" s="104"/>
      <c r="M73" s="104"/>
      <c r="N73" s="104"/>
      <c r="O73" s="104"/>
      <c r="P73" s="104">
        <f>+SUM(M62:O62)</f>
        <v>4</v>
      </c>
      <c r="Q73" s="104"/>
      <c r="R73" s="104"/>
      <c r="S73" s="104"/>
      <c r="T73" s="104"/>
    </row>
    <row r="74" spans="1:20" x14ac:dyDescent="0.25">
      <c r="A74" s="653"/>
      <c r="B74" s="652"/>
      <c r="C74" s="1" t="s">
        <v>131</v>
      </c>
      <c r="D74" s="367">
        <f>'S. INVESTIGACIÓN'!AV18</f>
        <v>0</v>
      </c>
      <c r="E74" s="663"/>
      <c r="J74" s="104" t="str">
        <f t="shared" si="13"/>
        <v>Rojo</v>
      </c>
      <c r="K74" s="104"/>
      <c r="L74" s="104"/>
      <c r="M74" s="104"/>
      <c r="N74" s="104"/>
      <c r="O74" s="104"/>
      <c r="P74" s="104">
        <f>+P73*P72</f>
        <v>44.444444444444443</v>
      </c>
      <c r="Q74" s="104"/>
      <c r="R74" s="104"/>
      <c r="S74" s="104"/>
      <c r="T74" s="104"/>
    </row>
    <row r="75" spans="1:20" x14ac:dyDescent="0.25">
      <c r="A75" s="653" t="s">
        <v>135</v>
      </c>
      <c r="B75" s="652">
        <v>0.15</v>
      </c>
      <c r="C75" s="1" t="s">
        <v>136</v>
      </c>
      <c r="D75" s="367">
        <f>'S. INVESTIGACIÓN'!AV19</f>
        <v>0.33333333333333331</v>
      </c>
      <c r="E75" s="661">
        <f>T63</f>
        <v>0.64892191964285717</v>
      </c>
      <c r="J75" s="104" t="str">
        <f t="shared" si="13"/>
        <v>Amarillo</v>
      </c>
      <c r="K75" s="104"/>
      <c r="L75" s="104"/>
      <c r="M75" s="104"/>
      <c r="N75" s="104"/>
      <c r="O75" s="104"/>
      <c r="P75" s="104"/>
      <c r="Q75" s="104"/>
      <c r="R75" s="104"/>
      <c r="S75" s="104"/>
      <c r="T75" s="104"/>
    </row>
    <row r="76" spans="1:20" x14ac:dyDescent="0.25">
      <c r="A76" s="653"/>
      <c r="B76" s="652"/>
      <c r="C76" s="1" t="s">
        <v>138</v>
      </c>
      <c r="D76" s="367">
        <f>'S. INVESTIGACIÓN'!AV20</f>
        <v>0.3</v>
      </c>
      <c r="E76" s="662"/>
      <c r="J76" s="104" t="str">
        <f t="shared" si="13"/>
        <v>Amarillo</v>
      </c>
      <c r="K76" s="104"/>
      <c r="L76" s="104"/>
      <c r="M76" s="104"/>
      <c r="N76" s="104"/>
      <c r="O76" s="104"/>
      <c r="P76" s="104"/>
      <c r="Q76" s="104"/>
      <c r="R76" s="104"/>
      <c r="S76" s="104"/>
      <c r="T76" s="104"/>
    </row>
    <row r="77" spans="1:20" x14ac:dyDescent="0.25">
      <c r="A77" s="653"/>
      <c r="B77" s="652"/>
      <c r="C77" s="1" t="s">
        <v>141</v>
      </c>
      <c r="D77" s="367">
        <f>'S. INVESTIGACIÓN'!AV21</f>
        <v>0</v>
      </c>
      <c r="E77" s="662"/>
      <c r="J77" s="104" t="str">
        <f t="shared" si="13"/>
        <v>Rojo</v>
      </c>
      <c r="K77" s="104"/>
      <c r="L77" s="104"/>
      <c r="M77" s="104"/>
      <c r="N77" s="104"/>
      <c r="O77" s="104"/>
      <c r="P77" s="104"/>
      <c r="Q77" s="104"/>
      <c r="R77" s="104"/>
      <c r="S77" s="104"/>
      <c r="T77" s="104"/>
    </row>
    <row r="78" spans="1:20" x14ac:dyDescent="0.25">
      <c r="A78" s="653"/>
      <c r="B78" s="652"/>
      <c r="C78" s="1" t="s">
        <v>412</v>
      </c>
      <c r="D78" s="367">
        <f>'S. INVESTIGACIÓN'!AV22</f>
        <v>3</v>
      </c>
      <c r="E78" s="663"/>
      <c r="J78" s="104" t="str">
        <f t="shared" si="13"/>
        <v>Azul</v>
      </c>
      <c r="K78" s="104"/>
      <c r="L78" s="104"/>
      <c r="M78" s="104"/>
      <c r="N78" s="104"/>
      <c r="O78" s="104"/>
      <c r="P78" s="104"/>
      <c r="Q78" s="104"/>
      <c r="R78" s="104"/>
      <c r="S78" s="104"/>
      <c r="T78" s="104"/>
    </row>
    <row r="79" spans="1:20" x14ac:dyDescent="0.25">
      <c r="A79" s="655" t="s">
        <v>143</v>
      </c>
      <c r="B79" s="652">
        <v>0.15</v>
      </c>
      <c r="C79" s="1" t="s">
        <v>144</v>
      </c>
      <c r="D79" s="367">
        <f>'S. INVESTIGACIÓN'!AV23</f>
        <v>0.55000000000000004</v>
      </c>
      <c r="E79" s="661">
        <f>T64</f>
        <v>0.98946798260869562</v>
      </c>
      <c r="J79" s="104" t="str">
        <f t="shared" si="13"/>
        <v>Amarillo</v>
      </c>
      <c r="K79" s="104"/>
      <c r="L79" s="104"/>
      <c r="M79" s="104"/>
      <c r="N79" s="104"/>
      <c r="O79" s="104"/>
      <c r="P79" s="104"/>
      <c r="Q79" s="104"/>
      <c r="R79" s="104"/>
      <c r="S79" s="104"/>
      <c r="T79" s="104"/>
    </row>
    <row r="80" spans="1:20" x14ac:dyDescent="0.25">
      <c r="A80" s="655"/>
      <c r="B80" s="627"/>
      <c r="C80" s="1" t="s">
        <v>146</v>
      </c>
      <c r="D80" s="367">
        <f>'S. INVESTIGACIÓN'!AV24</f>
        <v>0</v>
      </c>
      <c r="E80" s="663"/>
      <c r="J80" s="104" t="str">
        <f t="shared" si="13"/>
        <v>Rojo</v>
      </c>
    </row>
    <row r="81" spans="1:10" x14ac:dyDescent="0.25">
      <c r="A81" s="655" t="s">
        <v>150</v>
      </c>
      <c r="B81" s="652">
        <v>0.1</v>
      </c>
      <c r="C81" s="1" t="s">
        <v>151</v>
      </c>
      <c r="D81" s="367">
        <f>'S. INVESTIGACIÓN'!AV25</f>
        <v>0</v>
      </c>
      <c r="E81" s="661">
        <f>T65</f>
        <v>0.61077047453168654</v>
      </c>
      <c r="J81" s="104" t="str">
        <f t="shared" si="13"/>
        <v>Rojo</v>
      </c>
    </row>
    <row r="82" spans="1:10" x14ac:dyDescent="0.25">
      <c r="A82" s="655"/>
      <c r="B82" s="627"/>
      <c r="C82" s="1" t="s">
        <v>154</v>
      </c>
      <c r="D82" s="367">
        <f>'S. INVESTIGACIÓN'!AV26</f>
        <v>1.4</v>
      </c>
      <c r="E82" s="662"/>
      <c r="J82" s="104" t="str">
        <f t="shared" si="13"/>
        <v>Azul</v>
      </c>
    </row>
    <row r="83" spans="1:10" x14ac:dyDescent="0.25">
      <c r="A83" s="655"/>
      <c r="B83" s="627"/>
      <c r="C83" s="1" t="s">
        <v>157</v>
      </c>
      <c r="D83" s="367">
        <f>'S. INVESTIGACIÓN'!AV27</f>
        <v>0</v>
      </c>
      <c r="E83" s="663"/>
      <c r="J83" s="104" t="str">
        <f t="shared" si="13"/>
        <v>Rojo</v>
      </c>
    </row>
    <row r="84" spans="1:10" x14ac:dyDescent="0.25">
      <c r="A84" s="610" t="s">
        <v>160</v>
      </c>
      <c r="B84" s="652">
        <v>0</v>
      </c>
      <c r="C84" s="1" t="s">
        <v>161</v>
      </c>
      <c r="D84" s="367">
        <f>'S. INVESTIGACIÓN'!AV28</f>
        <v>0</v>
      </c>
      <c r="E84" s="661">
        <f>T66</f>
        <v>0</v>
      </c>
      <c r="J84" s="104" t="str">
        <f t="shared" si="13"/>
        <v>Rojo</v>
      </c>
    </row>
    <row r="85" spans="1:10" x14ac:dyDescent="0.25">
      <c r="A85" s="610"/>
      <c r="B85" s="652"/>
      <c r="C85" s="1" t="s">
        <v>163</v>
      </c>
      <c r="D85" s="367">
        <f>'S. INVESTIGACIÓN'!AV29</f>
        <v>0</v>
      </c>
      <c r="E85" s="662"/>
      <c r="J85" s="104" t="str">
        <f t="shared" si="13"/>
        <v>Rojo</v>
      </c>
    </row>
    <row r="86" spans="1:10" x14ac:dyDescent="0.25">
      <c r="A86" s="610"/>
      <c r="B86" s="652"/>
      <c r="C86" s="1" t="s">
        <v>166</v>
      </c>
      <c r="D86" s="367">
        <f>'S. INVESTIGACIÓN'!AV30</f>
        <v>0</v>
      </c>
      <c r="E86" s="662"/>
      <c r="J86" s="104" t="str">
        <f t="shared" si="13"/>
        <v>Rojo</v>
      </c>
    </row>
    <row r="87" spans="1:10" x14ac:dyDescent="0.25">
      <c r="A87" s="610"/>
      <c r="B87" s="652"/>
      <c r="C87" s="1" t="s">
        <v>169</v>
      </c>
      <c r="D87" s="367">
        <f>'S. INVESTIGACIÓN'!AV31</f>
        <v>0</v>
      </c>
      <c r="E87" s="663"/>
      <c r="J87" s="104" t="str">
        <f t="shared" si="13"/>
        <v>Rojo</v>
      </c>
    </row>
    <row r="88" spans="1:10" x14ac:dyDescent="0.25">
      <c r="A88" s="610" t="s">
        <v>173</v>
      </c>
      <c r="B88" s="652">
        <v>0</v>
      </c>
      <c r="C88" s="1" t="s">
        <v>174</v>
      </c>
      <c r="D88" s="367">
        <f>'S. INVESTIGACIÓN'!AV32</f>
        <v>0</v>
      </c>
      <c r="E88" s="661">
        <f>T67</f>
        <v>0</v>
      </c>
      <c r="J88" s="104" t="str">
        <f t="shared" si="13"/>
        <v>Rojo</v>
      </c>
    </row>
    <row r="89" spans="1:10" x14ac:dyDescent="0.25">
      <c r="A89" s="610"/>
      <c r="B89" s="627"/>
      <c r="C89" s="23" t="s">
        <v>176</v>
      </c>
      <c r="D89" s="367">
        <f>'S. INVESTIGACIÓN'!AV33</f>
        <v>0</v>
      </c>
      <c r="E89" s="663"/>
      <c r="J89" s="104" t="str">
        <f t="shared" si="13"/>
        <v>Rojo</v>
      </c>
    </row>
    <row r="90" spans="1:10" x14ac:dyDescent="0.25">
      <c r="A90" s="595" t="s">
        <v>180</v>
      </c>
      <c r="B90" s="348">
        <v>0.1</v>
      </c>
      <c r="C90" s="1" t="s">
        <v>181</v>
      </c>
      <c r="D90" s="367">
        <f>'S. INVESTIGACIÓN'!AV34</f>
        <v>0</v>
      </c>
      <c r="E90" s="661">
        <f>T68</f>
        <v>0.78093937692307691</v>
      </c>
      <c r="J90" s="104" t="str">
        <f t="shared" si="13"/>
        <v>Rojo</v>
      </c>
    </row>
    <row r="91" spans="1:10" x14ac:dyDescent="0.25">
      <c r="A91" s="597"/>
      <c r="B91" s="348"/>
      <c r="C91" s="1" t="s">
        <v>184</v>
      </c>
      <c r="D91" s="367">
        <f>'S. INVESTIGACIÓN'!AV35</f>
        <v>0.5</v>
      </c>
      <c r="E91" s="663"/>
      <c r="J91" s="104" t="str">
        <f t="shared" si="13"/>
        <v>Amarillo</v>
      </c>
    </row>
    <row r="92" spans="1:10" x14ac:dyDescent="0.25">
      <c r="A92" s="541" t="s">
        <v>187</v>
      </c>
      <c r="B92" s="348">
        <v>0.1</v>
      </c>
      <c r="C92" s="1" t="s">
        <v>188</v>
      </c>
      <c r="D92" s="367">
        <f>'S. INVESTIGACIÓN'!AV36</f>
        <v>0</v>
      </c>
      <c r="E92" s="661">
        <f>T69</f>
        <v>0.79520273981095646</v>
      </c>
      <c r="J92" s="104" t="str">
        <f t="shared" si="13"/>
        <v>Rojo</v>
      </c>
    </row>
    <row r="93" spans="1:10" x14ac:dyDescent="0.25">
      <c r="A93" s="542"/>
      <c r="B93" s="338"/>
      <c r="C93" s="1" t="s">
        <v>191</v>
      </c>
      <c r="D93" s="367">
        <f>'S. INVESTIGACIÓN'!AV37</f>
        <v>6</v>
      </c>
      <c r="E93" s="662"/>
      <c r="J93" s="104" t="str">
        <f t="shared" si="13"/>
        <v>Azul</v>
      </c>
    </row>
    <row r="94" spans="1:10" x14ac:dyDescent="0.25">
      <c r="A94" s="542"/>
      <c r="B94" s="338"/>
      <c r="C94" s="1" t="s">
        <v>194</v>
      </c>
      <c r="D94" s="367">
        <f>'S. INVESTIGACIÓN'!AV38</f>
        <v>0.3125</v>
      </c>
      <c r="E94" s="662"/>
      <c r="J94" s="104" t="str">
        <f t="shared" si="13"/>
        <v>Amarillo</v>
      </c>
    </row>
    <row r="95" spans="1:10" x14ac:dyDescent="0.25">
      <c r="A95" s="542"/>
      <c r="B95" s="338"/>
      <c r="C95" s="1" t="s">
        <v>196</v>
      </c>
      <c r="D95" s="367">
        <f>'S. INVESTIGACIÓN'!AV39</f>
        <v>0</v>
      </c>
      <c r="E95" s="662"/>
      <c r="J95" s="104" t="str">
        <f t="shared" si="13"/>
        <v>Rojo</v>
      </c>
    </row>
    <row r="96" spans="1:10" x14ac:dyDescent="0.25">
      <c r="A96" s="542"/>
      <c r="B96" s="338"/>
      <c r="C96" s="1" t="s">
        <v>199</v>
      </c>
      <c r="D96" s="367">
        <f>'S. INVESTIGACIÓN'!AV40</f>
        <v>0.5</v>
      </c>
      <c r="E96" s="662"/>
      <c r="J96" s="104" t="str">
        <f t="shared" si="13"/>
        <v>Amarillo</v>
      </c>
    </row>
    <row r="97" spans="1:10" x14ac:dyDescent="0.25">
      <c r="A97" s="543"/>
      <c r="B97" s="338"/>
      <c r="C97" s="1" t="s">
        <v>202</v>
      </c>
      <c r="D97" s="367">
        <f>'S. INVESTIGACIÓN'!AV41</f>
        <v>0</v>
      </c>
      <c r="E97" s="663"/>
      <c r="J97" s="104" t="str">
        <f t="shared" si="13"/>
        <v>Rojo</v>
      </c>
    </row>
    <row r="98" spans="1:10" x14ac:dyDescent="0.25">
      <c r="A98" s="648" t="s">
        <v>499</v>
      </c>
      <c r="B98" s="648"/>
      <c r="C98" s="648"/>
      <c r="D98" s="648"/>
      <c r="E98" s="195">
        <f>C115</f>
        <v>0.60503359077358487</v>
      </c>
    </row>
    <row r="105" spans="1:10" ht="30" x14ac:dyDescent="0.25">
      <c r="A105" s="342" t="s">
        <v>489</v>
      </c>
      <c r="B105" s="342" t="s">
        <v>729</v>
      </c>
      <c r="C105" s="342" t="s">
        <v>731</v>
      </c>
      <c r="D105" s="342" t="s">
        <v>7</v>
      </c>
    </row>
    <row r="106" spans="1:10" ht="45" x14ac:dyDescent="0.25">
      <c r="A106" s="11" t="str">
        <f>A61</f>
        <v>SI-PY1.  Fortalecimiento de las capacidades de investigación, desarrollo e innovación.</v>
      </c>
      <c r="B106" s="367">
        <f t="shared" ref="B106:B114" si="17">Q61</f>
        <v>0.4</v>
      </c>
      <c r="C106" s="367">
        <f>E61</f>
        <v>0.85682420643920842</v>
      </c>
      <c r="D106" s="367">
        <f t="shared" ref="D106:D114" si="18">(B106+C106)/2</f>
        <v>0.62841210321960417</v>
      </c>
    </row>
    <row r="107" spans="1:10" ht="30" x14ac:dyDescent="0.25">
      <c r="A107" s="11" t="str">
        <f>A66</f>
        <v>SI-PY2.  Calidad Académica y formación en Investigación.</v>
      </c>
      <c r="B107" s="367">
        <f t="shared" si="17"/>
        <v>0.44444444444444442</v>
      </c>
      <c r="C107" s="367">
        <f>E66</f>
        <v>0.7631756170057824</v>
      </c>
      <c r="D107" s="367">
        <f t="shared" si="18"/>
        <v>0.60381003072511341</v>
      </c>
    </row>
    <row r="108" spans="1:10" ht="45" x14ac:dyDescent="0.25">
      <c r="A108" s="11" t="str">
        <f>A75</f>
        <v>SI-PY3. Calidad Académica y formación a través de la Investigación</v>
      </c>
      <c r="B108" s="367">
        <f t="shared" si="17"/>
        <v>0.75</v>
      </c>
      <c r="C108" s="367">
        <f>E75</f>
        <v>0.64892191964285717</v>
      </c>
      <c r="D108" s="367">
        <f t="shared" si="18"/>
        <v>0.69946095982142853</v>
      </c>
    </row>
    <row r="109" spans="1:10" ht="30" x14ac:dyDescent="0.25">
      <c r="A109" s="11" t="str">
        <f>A79</f>
        <v>SI-PY4.  Calidad Académica y ejecución de Investigación.</v>
      </c>
      <c r="B109" s="367">
        <f t="shared" si="17"/>
        <v>0.5</v>
      </c>
      <c r="C109" s="367">
        <f>E79</f>
        <v>0.98946798260869562</v>
      </c>
      <c r="D109" s="367">
        <f t="shared" si="18"/>
        <v>0.74473399130434781</v>
      </c>
    </row>
    <row r="110" spans="1:10" ht="30" x14ac:dyDescent="0.25">
      <c r="A110" s="11" t="str">
        <f>A81</f>
        <v>SI-PY5. Calidad Académica y gestión de Investigación.</v>
      </c>
      <c r="B110" s="367">
        <f t="shared" si="17"/>
        <v>0.33333333333333337</v>
      </c>
      <c r="C110" s="367">
        <f>E81</f>
        <v>0.61077047453168654</v>
      </c>
      <c r="D110" s="367">
        <f t="shared" si="18"/>
        <v>0.47205190393250995</v>
      </c>
    </row>
    <row r="111" spans="1:10" ht="30" x14ac:dyDescent="0.25">
      <c r="A111" s="11" t="str">
        <f>A84</f>
        <v>SI-PY6.  Articulación del Sistema Integrado de Información (TICS).</v>
      </c>
      <c r="B111" s="367">
        <f t="shared" si="17"/>
        <v>0</v>
      </c>
      <c r="C111" s="367">
        <f>E84</f>
        <v>0</v>
      </c>
      <c r="D111" s="367">
        <f t="shared" si="18"/>
        <v>0</v>
      </c>
    </row>
    <row r="112" spans="1:10" ht="60" x14ac:dyDescent="0.25">
      <c r="A112" s="11" t="str">
        <f>A88</f>
        <v>SI-PY7.  Evaluación, dotación y consolidación de los Centros de Documentación, archivística y bases de datos.</v>
      </c>
      <c r="B112" s="367">
        <f t="shared" si="17"/>
        <v>0.6</v>
      </c>
      <c r="C112" s="367">
        <f>E88</f>
        <v>0</v>
      </c>
      <c r="D112" s="367">
        <f t="shared" si="18"/>
        <v>0.3</v>
      </c>
    </row>
    <row r="113" spans="1:4" ht="60" x14ac:dyDescent="0.25">
      <c r="A113" s="11" t="str">
        <f>A90</f>
        <v>SI-PY8.  Creación y Fortalecimiento de Centros, Institutos de investigación, desarrollo y vigilancia Tecnológica e Innovación.</v>
      </c>
      <c r="B113" s="367">
        <f t="shared" si="17"/>
        <v>0.5</v>
      </c>
      <c r="C113" s="367">
        <f>E90</f>
        <v>0.78093937692307691</v>
      </c>
      <c r="D113" s="367">
        <f t="shared" si="18"/>
        <v>0.6404696884615384</v>
      </c>
    </row>
    <row r="114" spans="1:4" ht="45" x14ac:dyDescent="0.25">
      <c r="A114" s="11" t="str">
        <f>A92</f>
        <v>SI-PY9.  Articulación y fortalecimiento de las publicaciones Científicas  y Académicas.</v>
      </c>
      <c r="B114" s="367">
        <f t="shared" si="17"/>
        <v>0.5</v>
      </c>
      <c r="C114" s="367">
        <f>E92</f>
        <v>0.79520273981095646</v>
      </c>
      <c r="D114" s="367">
        <f t="shared" si="18"/>
        <v>0.64760136990547823</v>
      </c>
    </row>
    <row r="115" spans="1:4" x14ac:dyDescent="0.25">
      <c r="A115" s="341" t="s">
        <v>728</v>
      </c>
      <c r="B115" s="216">
        <f>AVERAGE(B106:B114)</f>
        <v>0.44753086419753096</v>
      </c>
      <c r="C115" s="216">
        <f>AVERAGE(C106:C114)</f>
        <v>0.60503359077358487</v>
      </c>
      <c r="D115" s="216">
        <f>AVERAGE(D106:D114)</f>
        <v>0.52628222748555786</v>
      </c>
    </row>
  </sheetData>
  <mergeCells count="51">
    <mergeCell ref="A98:D98"/>
    <mergeCell ref="A31:A32"/>
    <mergeCell ref="E81:E83"/>
    <mergeCell ref="A90:A91"/>
    <mergeCell ref="E90:E91"/>
    <mergeCell ref="A92:A97"/>
    <mergeCell ref="E92:E97"/>
    <mergeCell ref="A84:A87"/>
    <mergeCell ref="B84:B87"/>
    <mergeCell ref="E84:E87"/>
    <mergeCell ref="A88:A89"/>
    <mergeCell ref="B88:B89"/>
    <mergeCell ref="E88:E89"/>
    <mergeCell ref="A79:A80"/>
    <mergeCell ref="B79:B80"/>
    <mergeCell ref="E79:E80"/>
    <mergeCell ref="A81:A83"/>
    <mergeCell ref="B81:B83"/>
    <mergeCell ref="A66:A74"/>
    <mergeCell ref="B66:B74"/>
    <mergeCell ref="E66:E74"/>
    <mergeCell ref="A75:A78"/>
    <mergeCell ref="B75:B78"/>
    <mergeCell ref="E75:E78"/>
    <mergeCell ref="A5:E5"/>
    <mergeCell ref="A58:E58"/>
    <mergeCell ref="A59:E59"/>
    <mergeCell ref="A61:A65"/>
    <mergeCell ref="B61:B65"/>
    <mergeCell ref="E61:E65"/>
    <mergeCell ref="A41:D41"/>
    <mergeCell ref="E28:E29"/>
    <mergeCell ref="A26:A27"/>
    <mergeCell ref="B26:B27"/>
    <mergeCell ref="A13:A21"/>
    <mergeCell ref="B13:B21"/>
    <mergeCell ref="E13:E21"/>
    <mergeCell ref="A28:A29"/>
    <mergeCell ref="B28:B29"/>
    <mergeCell ref="A6:E6"/>
    <mergeCell ref="A33:A34"/>
    <mergeCell ref="A35:A40"/>
    <mergeCell ref="E35:E40"/>
    <mergeCell ref="E33:E34"/>
    <mergeCell ref="A8:A12"/>
    <mergeCell ref="B8:B12"/>
    <mergeCell ref="E8:E12"/>
    <mergeCell ref="E26:E27"/>
    <mergeCell ref="A22:A25"/>
    <mergeCell ref="B22:B25"/>
    <mergeCell ref="E22:E25"/>
  </mergeCells>
  <conditionalFormatting sqref="B46:B50 B53:D54 C47:D50 D8:D29">
    <cfRule type="cellIs" dxfId="284" priority="566" operator="greaterThan">
      <formula>50%</formula>
    </cfRule>
    <cfRule type="cellIs" dxfId="283" priority="567" operator="between">
      <formula>37%</formula>
      <formula>50%</formula>
    </cfRule>
    <cfRule type="cellIs" dxfId="282" priority="568" operator="between">
      <formula>16%</formula>
      <formula>37%</formula>
    </cfRule>
    <cfRule type="cellIs" dxfId="281" priority="569" operator="lessThan">
      <formula>16%</formula>
    </cfRule>
  </conditionalFormatting>
  <conditionalFormatting sqref="E8">
    <cfRule type="cellIs" dxfId="280" priority="294" operator="greaterThan">
      <formula>50%</formula>
    </cfRule>
    <cfRule type="cellIs" dxfId="279" priority="295" operator="between">
      <formula>37%</formula>
      <formula>50%</formula>
    </cfRule>
    <cfRule type="cellIs" dxfId="278" priority="296" operator="between">
      <formula>16%</formula>
      <formula>37%</formula>
    </cfRule>
    <cfRule type="cellIs" dxfId="277" priority="297" operator="lessThan">
      <formula>16%</formula>
    </cfRule>
  </conditionalFormatting>
  <conditionalFormatting sqref="E13">
    <cfRule type="cellIs" dxfId="276" priority="258" operator="greaterThan">
      <formula>50%</formula>
    </cfRule>
    <cfRule type="cellIs" dxfId="275" priority="259" operator="between">
      <formula>37%</formula>
      <formula>50%</formula>
    </cfRule>
    <cfRule type="cellIs" dxfId="274" priority="260" operator="between">
      <formula>16%</formula>
      <formula>37%</formula>
    </cfRule>
    <cfRule type="cellIs" dxfId="273" priority="261" operator="lessThan">
      <formula>16%</formula>
    </cfRule>
  </conditionalFormatting>
  <conditionalFormatting sqref="E22">
    <cfRule type="cellIs" dxfId="272" priority="234" operator="greaterThan">
      <formula>50%</formula>
    </cfRule>
    <cfRule type="cellIs" dxfId="271" priority="235" operator="between">
      <formula>37%</formula>
      <formula>50%</formula>
    </cfRule>
    <cfRule type="cellIs" dxfId="270" priority="236" operator="between">
      <formula>16%</formula>
      <formula>37%</formula>
    </cfRule>
    <cfRule type="cellIs" dxfId="269" priority="237" operator="lessThan">
      <formula>16%</formula>
    </cfRule>
  </conditionalFormatting>
  <conditionalFormatting sqref="E26">
    <cfRule type="cellIs" dxfId="268" priority="230" operator="greaterThan">
      <formula>50%</formula>
    </cfRule>
    <cfRule type="cellIs" dxfId="267" priority="231" operator="between">
      <formula>37%</formula>
      <formula>50%</formula>
    </cfRule>
    <cfRule type="cellIs" dxfId="266" priority="232" operator="between">
      <formula>16%</formula>
      <formula>37%</formula>
    </cfRule>
    <cfRule type="cellIs" dxfId="265" priority="233" operator="lessThan">
      <formula>16%</formula>
    </cfRule>
  </conditionalFormatting>
  <conditionalFormatting sqref="E28">
    <cfRule type="cellIs" dxfId="264" priority="226" operator="greaterThan">
      <formula>50%</formula>
    </cfRule>
    <cfRule type="cellIs" dxfId="263" priority="227" operator="between">
      <formula>37%</formula>
      <formula>50%</formula>
    </cfRule>
    <cfRule type="cellIs" dxfId="262" priority="228" operator="between">
      <formula>16%</formula>
      <formula>37%</formula>
    </cfRule>
    <cfRule type="cellIs" dxfId="261" priority="229" operator="lessThan">
      <formula>16%</formula>
    </cfRule>
  </conditionalFormatting>
  <conditionalFormatting sqref="C46:D46">
    <cfRule type="cellIs" dxfId="260" priority="210" operator="greaterThan">
      <formula>50%</formula>
    </cfRule>
    <cfRule type="cellIs" dxfId="259" priority="211" operator="between">
      <formula>37%</formula>
      <formula>50%</formula>
    </cfRule>
    <cfRule type="cellIs" dxfId="258" priority="212" operator="between">
      <formula>16%</formula>
      <formula>37%</formula>
    </cfRule>
    <cfRule type="cellIs" dxfId="257" priority="213" operator="lessThan">
      <formula>16%</formula>
    </cfRule>
  </conditionalFormatting>
  <conditionalFormatting sqref="E35">
    <cfRule type="cellIs" dxfId="256" priority="218" operator="greaterThan">
      <formula>50%</formula>
    </cfRule>
    <cfRule type="cellIs" dxfId="255" priority="219" operator="between">
      <formula>37%</formula>
      <formula>50%</formula>
    </cfRule>
    <cfRule type="cellIs" dxfId="254" priority="220" operator="between">
      <formula>16%</formula>
      <formula>37%</formula>
    </cfRule>
    <cfRule type="cellIs" dxfId="253" priority="221" operator="lessThan">
      <formula>16%</formula>
    </cfRule>
  </conditionalFormatting>
  <conditionalFormatting sqref="B55">
    <cfRule type="cellIs" dxfId="252" priority="198" operator="greaterThan">
      <formula>50%</formula>
    </cfRule>
    <cfRule type="cellIs" dxfId="251" priority="199" operator="between">
      <formula>37%</formula>
      <formula>50%</formula>
    </cfRule>
    <cfRule type="cellIs" dxfId="250" priority="200" operator="between">
      <formula>16%</formula>
      <formula>37%</formula>
    </cfRule>
    <cfRule type="cellIs" dxfId="249" priority="201" operator="lessThan">
      <formula>16%</formula>
    </cfRule>
  </conditionalFormatting>
  <conditionalFormatting sqref="C55:D55">
    <cfRule type="cellIs" dxfId="248" priority="194" operator="greaterThan">
      <formula>50%</formula>
    </cfRule>
    <cfRule type="cellIs" dxfId="247" priority="195" operator="between">
      <formula>37%</formula>
      <formula>50%</formula>
    </cfRule>
    <cfRule type="cellIs" dxfId="246" priority="196" operator="between">
      <formula>16%</formula>
      <formula>37%</formula>
    </cfRule>
    <cfRule type="cellIs" dxfId="245" priority="197" operator="lessThan">
      <formula>16%</formula>
    </cfRule>
  </conditionalFormatting>
  <conditionalFormatting sqref="D30:D40">
    <cfRule type="cellIs" dxfId="244" priority="190" operator="greaterThan">
      <formula>50%</formula>
    </cfRule>
    <cfRule type="cellIs" dxfId="243" priority="191" operator="between">
      <formula>37%</formula>
      <formula>50%</formula>
    </cfRule>
    <cfRule type="cellIs" dxfId="242" priority="192" operator="between">
      <formula>16%</formula>
      <formula>37%</formula>
    </cfRule>
    <cfRule type="cellIs" dxfId="241" priority="193" operator="lessThan">
      <formula>16%</formula>
    </cfRule>
  </conditionalFormatting>
  <conditionalFormatting sqref="E30:E31">
    <cfRule type="cellIs" dxfId="240" priority="182" operator="greaterThan">
      <formula>50%</formula>
    </cfRule>
    <cfRule type="cellIs" dxfId="239" priority="183" operator="between">
      <formula>37%</formula>
      <formula>50%</formula>
    </cfRule>
    <cfRule type="cellIs" dxfId="238" priority="184" operator="between">
      <formula>16%</formula>
      <formula>37%</formula>
    </cfRule>
    <cfRule type="cellIs" dxfId="237" priority="185" operator="lessThan">
      <formula>16%</formula>
    </cfRule>
  </conditionalFormatting>
  <conditionalFormatting sqref="E33">
    <cfRule type="cellIs" dxfId="236" priority="178" operator="greaterThan">
      <formula>50%</formula>
    </cfRule>
    <cfRule type="cellIs" dxfId="235" priority="179" operator="between">
      <formula>37%</formula>
      <formula>50%</formula>
    </cfRule>
    <cfRule type="cellIs" dxfId="234" priority="180" operator="between">
      <formula>16%</formula>
      <formula>37%</formula>
    </cfRule>
    <cfRule type="cellIs" dxfId="233" priority="181" operator="lessThan">
      <formula>16%</formula>
    </cfRule>
  </conditionalFormatting>
  <conditionalFormatting sqref="B51">
    <cfRule type="cellIs" dxfId="232" priority="162" operator="greaterThan">
      <formula>50%</formula>
    </cfRule>
    <cfRule type="cellIs" dxfId="231" priority="163" operator="between">
      <formula>37%</formula>
      <formula>50%</formula>
    </cfRule>
    <cfRule type="cellIs" dxfId="230" priority="164" operator="between">
      <formula>16%</formula>
      <formula>37%</formula>
    </cfRule>
    <cfRule type="cellIs" dxfId="229" priority="165" operator="lessThan">
      <formula>16%</formula>
    </cfRule>
  </conditionalFormatting>
  <conditionalFormatting sqref="B52">
    <cfRule type="cellIs" dxfId="228" priority="158" operator="greaterThan">
      <formula>50%</formula>
    </cfRule>
    <cfRule type="cellIs" dxfId="227" priority="159" operator="between">
      <formula>37%</formula>
      <formula>50%</formula>
    </cfRule>
    <cfRule type="cellIs" dxfId="226" priority="160" operator="between">
      <formula>16%</formula>
      <formula>37%</formula>
    </cfRule>
    <cfRule type="cellIs" dxfId="225" priority="161" operator="lessThan">
      <formula>16%</formula>
    </cfRule>
  </conditionalFormatting>
  <conditionalFormatting sqref="C51:D52">
    <cfRule type="cellIs" dxfId="224" priority="166" operator="greaterThan">
      <formula>50%</formula>
    </cfRule>
    <cfRule type="cellIs" dxfId="223" priority="167" operator="between">
      <formula>37%</formula>
      <formula>50%</formula>
    </cfRule>
    <cfRule type="cellIs" dxfId="222" priority="168" operator="between">
      <formula>16%</formula>
      <formula>37%</formula>
    </cfRule>
    <cfRule type="cellIs" dxfId="221" priority="169" operator="lessThan">
      <formula>16%</formula>
    </cfRule>
  </conditionalFormatting>
  <conditionalFormatting sqref="B115">
    <cfRule type="cellIs" dxfId="220" priority="94" operator="greaterThan">
      <formula>50%</formula>
    </cfRule>
    <cfRule type="cellIs" dxfId="219" priority="95" operator="between">
      <formula>37%</formula>
      <formula>50%</formula>
    </cfRule>
    <cfRule type="cellIs" dxfId="218" priority="96" operator="between">
      <formula>16%</formula>
      <formula>37%</formula>
    </cfRule>
    <cfRule type="cellIs" dxfId="217" priority="97" operator="lessThan">
      <formula>16%</formula>
    </cfRule>
  </conditionalFormatting>
  <conditionalFormatting sqref="C115:D115">
    <cfRule type="cellIs" dxfId="216" priority="90" operator="greaterThan">
      <formula>50%</formula>
    </cfRule>
    <cfRule type="cellIs" dxfId="215" priority="91" operator="between">
      <formula>37%</formula>
      <formula>50%</formula>
    </cfRule>
    <cfRule type="cellIs" dxfId="214" priority="92" operator="between">
      <formula>16%</formula>
      <formula>37%</formula>
    </cfRule>
    <cfRule type="cellIs" dxfId="213" priority="93" operator="lessThan">
      <formula>16%</formula>
    </cfRule>
  </conditionalFormatting>
  <conditionalFormatting sqref="D61">
    <cfRule type="cellIs" dxfId="212" priority="62" operator="greaterThan">
      <formula>74.1%</formula>
    </cfRule>
    <cfRule type="cellIs" dxfId="211" priority="63" operator="between">
      <formula>56.1%</formula>
      <formula>74%</formula>
    </cfRule>
    <cfRule type="cellIs" dxfId="210" priority="64" operator="between">
      <formula>25.1%</formula>
      <formula>56%</formula>
    </cfRule>
    <cfRule type="cellIs" dxfId="209" priority="65" operator="lessThanOrEqual">
      <formula>25%</formula>
    </cfRule>
  </conditionalFormatting>
  <conditionalFormatting sqref="D61">
    <cfRule type="cellIs" dxfId="208" priority="61" operator="equal">
      <formula>0</formula>
    </cfRule>
  </conditionalFormatting>
  <conditionalFormatting sqref="D62:D86">
    <cfRule type="cellIs" dxfId="207" priority="57" operator="greaterThan">
      <formula>74.1%</formula>
    </cfRule>
    <cfRule type="cellIs" dxfId="206" priority="58" operator="between">
      <formula>56.1%</formula>
      <formula>74%</formula>
    </cfRule>
    <cfRule type="cellIs" dxfId="205" priority="59" operator="between">
      <formula>25.1%</formula>
      <formula>56%</formula>
    </cfRule>
    <cfRule type="cellIs" dxfId="204" priority="60" operator="lessThanOrEqual">
      <formula>25%</formula>
    </cfRule>
  </conditionalFormatting>
  <conditionalFormatting sqref="D62:D86">
    <cfRule type="cellIs" dxfId="203" priority="56" operator="equal">
      <formula>0</formula>
    </cfRule>
  </conditionalFormatting>
  <conditionalFormatting sqref="D87:D97">
    <cfRule type="cellIs" dxfId="202" priority="52" operator="greaterThan">
      <formula>74.1%</formula>
    </cfRule>
    <cfRule type="cellIs" dxfId="201" priority="53" operator="between">
      <formula>56.1%</formula>
      <formula>74%</formula>
    </cfRule>
    <cfRule type="cellIs" dxfId="200" priority="54" operator="between">
      <formula>25.1%</formula>
      <formula>56%</formula>
    </cfRule>
    <cfRule type="cellIs" dxfId="199" priority="55" operator="lessThanOrEqual">
      <formula>25%</formula>
    </cfRule>
  </conditionalFormatting>
  <conditionalFormatting sqref="D87:D97">
    <cfRule type="cellIs" dxfId="198" priority="51" operator="equal">
      <formula>0</formula>
    </cfRule>
  </conditionalFormatting>
  <conditionalFormatting sqref="E61">
    <cfRule type="cellIs" dxfId="197" priority="47" operator="greaterThan">
      <formula>74.1%</formula>
    </cfRule>
    <cfRule type="cellIs" dxfId="196" priority="48" operator="between">
      <formula>56.1%</formula>
      <formula>74%</formula>
    </cfRule>
    <cfRule type="cellIs" dxfId="195" priority="49" operator="between">
      <formula>25.1%</formula>
      <formula>56%</formula>
    </cfRule>
    <cfRule type="cellIs" dxfId="194" priority="50" operator="lessThanOrEqual">
      <formula>25%</formula>
    </cfRule>
  </conditionalFormatting>
  <conditionalFormatting sqref="E61">
    <cfRule type="cellIs" dxfId="193" priority="46" operator="equal">
      <formula>0</formula>
    </cfRule>
  </conditionalFormatting>
  <conditionalFormatting sqref="E66">
    <cfRule type="cellIs" dxfId="192" priority="42" operator="greaterThan">
      <formula>74.1%</formula>
    </cfRule>
    <cfRule type="cellIs" dxfId="191" priority="43" operator="between">
      <formula>56.1%</formula>
      <formula>74%</formula>
    </cfRule>
    <cfRule type="cellIs" dxfId="190" priority="44" operator="between">
      <formula>25.1%</formula>
      <formula>56%</formula>
    </cfRule>
    <cfRule type="cellIs" dxfId="189" priority="45" operator="lessThanOrEqual">
      <formula>25%</formula>
    </cfRule>
  </conditionalFormatting>
  <conditionalFormatting sqref="E66">
    <cfRule type="cellIs" dxfId="188" priority="41" operator="equal">
      <formula>0</formula>
    </cfRule>
  </conditionalFormatting>
  <conditionalFormatting sqref="E75">
    <cfRule type="cellIs" dxfId="187" priority="37" operator="greaterThan">
      <formula>74.1%</formula>
    </cfRule>
    <cfRule type="cellIs" dxfId="186" priority="38" operator="between">
      <formula>56.1%</formula>
      <formula>74%</formula>
    </cfRule>
    <cfRule type="cellIs" dxfId="185" priority="39" operator="between">
      <formula>25.1%</formula>
      <formula>56%</formula>
    </cfRule>
    <cfRule type="cellIs" dxfId="184" priority="40" operator="lessThanOrEqual">
      <formula>25%</formula>
    </cfRule>
  </conditionalFormatting>
  <conditionalFormatting sqref="E75">
    <cfRule type="cellIs" dxfId="183" priority="36" operator="equal">
      <formula>0</formula>
    </cfRule>
  </conditionalFormatting>
  <conditionalFormatting sqref="E79">
    <cfRule type="cellIs" dxfId="182" priority="32" operator="greaterThan">
      <formula>74.1%</formula>
    </cfRule>
    <cfRule type="cellIs" dxfId="181" priority="33" operator="between">
      <formula>56.1%</formula>
      <formula>74%</formula>
    </cfRule>
    <cfRule type="cellIs" dxfId="180" priority="34" operator="between">
      <formula>25.1%</formula>
      <formula>56%</formula>
    </cfRule>
    <cfRule type="cellIs" dxfId="179" priority="35" operator="lessThanOrEqual">
      <formula>25%</formula>
    </cfRule>
  </conditionalFormatting>
  <conditionalFormatting sqref="E79">
    <cfRule type="cellIs" dxfId="178" priority="31" operator="equal">
      <formula>0</formula>
    </cfRule>
  </conditionalFormatting>
  <conditionalFormatting sqref="E81">
    <cfRule type="cellIs" dxfId="177" priority="27" operator="greaterThan">
      <formula>74.1%</formula>
    </cfRule>
    <cfRule type="cellIs" dxfId="176" priority="28" operator="between">
      <formula>56.1%</formula>
      <formula>74%</formula>
    </cfRule>
    <cfRule type="cellIs" dxfId="175" priority="29" operator="between">
      <formula>25.1%</formula>
      <formula>56%</formula>
    </cfRule>
    <cfRule type="cellIs" dxfId="174" priority="30" operator="lessThanOrEqual">
      <formula>25%</formula>
    </cfRule>
  </conditionalFormatting>
  <conditionalFormatting sqref="E81">
    <cfRule type="cellIs" dxfId="173" priority="26" operator="equal">
      <formula>0</formula>
    </cfRule>
  </conditionalFormatting>
  <conditionalFormatting sqref="E84">
    <cfRule type="cellIs" dxfId="172" priority="22" operator="greaterThan">
      <formula>74.1%</formula>
    </cfRule>
    <cfRule type="cellIs" dxfId="171" priority="23" operator="between">
      <formula>56.1%</formula>
      <formula>74%</formula>
    </cfRule>
    <cfRule type="cellIs" dxfId="170" priority="24" operator="between">
      <formula>25.1%</formula>
      <formula>56%</formula>
    </cfRule>
    <cfRule type="cellIs" dxfId="169" priority="25" operator="lessThanOrEqual">
      <formula>25%</formula>
    </cfRule>
  </conditionalFormatting>
  <conditionalFormatting sqref="E84">
    <cfRule type="cellIs" dxfId="168" priority="21" operator="equal">
      <formula>0</formula>
    </cfRule>
  </conditionalFormatting>
  <conditionalFormatting sqref="E88">
    <cfRule type="cellIs" dxfId="167" priority="17" operator="greaterThan">
      <formula>74.1%</formula>
    </cfRule>
    <cfRule type="cellIs" dxfId="166" priority="18" operator="between">
      <formula>56.1%</formula>
      <formula>74%</formula>
    </cfRule>
    <cfRule type="cellIs" dxfId="165" priority="19" operator="between">
      <formula>25.1%</formula>
      <formula>56%</formula>
    </cfRule>
    <cfRule type="cellIs" dxfId="164" priority="20" operator="lessThanOrEqual">
      <formula>25%</formula>
    </cfRule>
  </conditionalFormatting>
  <conditionalFormatting sqref="E88">
    <cfRule type="cellIs" dxfId="163" priority="16" operator="equal">
      <formula>0</formula>
    </cfRule>
  </conditionalFormatting>
  <conditionalFormatting sqref="E90">
    <cfRule type="cellIs" dxfId="162" priority="12" operator="greaterThan">
      <formula>74.1%</formula>
    </cfRule>
    <cfRule type="cellIs" dxfId="161" priority="13" operator="between">
      <formula>56.1%</formula>
      <formula>74%</formula>
    </cfRule>
    <cfRule type="cellIs" dxfId="160" priority="14" operator="between">
      <formula>25.1%</formula>
      <formula>56%</formula>
    </cfRule>
    <cfRule type="cellIs" dxfId="159" priority="15" operator="lessThanOrEqual">
      <formula>25%</formula>
    </cfRule>
  </conditionalFormatting>
  <conditionalFormatting sqref="E90">
    <cfRule type="cellIs" dxfId="158" priority="11" operator="equal">
      <formula>0</formula>
    </cfRule>
  </conditionalFormatting>
  <conditionalFormatting sqref="E92">
    <cfRule type="cellIs" dxfId="157" priority="7" operator="greaterThan">
      <formula>74.1%</formula>
    </cfRule>
    <cfRule type="cellIs" dxfId="156" priority="8" operator="between">
      <formula>56.1%</formula>
      <formula>74%</formula>
    </cfRule>
    <cfRule type="cellIs" dxfId="155" priority="9" operator="between">
      <formula>25.1%</formula>
      <formula>56%</formula>
    </cfRule>
    <cfRule type="cellIs" dxfId="154" priority="10" operator="lessThanOrEqual">
      <formula>25%</formula>
    </cfRule>
  </conditionalFormatting>
  <conditionalFormatting sqref="E92">
    <cfRule type="cellIs" dxfId="153" priority="6" operator="equal">
      <formula>0</formula>
    </cfRule>
  </conditionalFormatting>
  <conditionalFormatting sqref="B106:D114">
    <cfRule type="cellIs" dxfId="152" priority="2" operator="greaterThan">
      <formula>74.1%</formula>
    </cfRule>
    <cfRule type="cellIs" dxfId="151" priority="3" operator="between">
      <formula>56.1%</formula>
      <formula>74%</formula>
    </cfRule>
    <cfRule type="cellIs" dxfId="150" priority="4" operator="between">
      <formula>25.1%</formula>
      <formula>56%</formula>
    </cfRule>
    <cfRule type="cellIs" dxfId="149" priority="5" operator="lessThanOrEqual">
      <formula>25%</formula>
    </cfRule>
  </conditionalFormatting>
  <conditionalFormatting sqref="B106:D114">
    <cfRule type="cellIs" dxfId="148" priority="1" operator="equal">
      <formula>0</formula>
    </cfRule>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100"/>
  <sheetViews>
    <sheetView topLeftCell="A57" workbookViewId="0">
      <selection activeCell="F84" sqref="F84"/>
    </sheetView>
  </sheetViews>
  <sheetFormatPr baseColWidth="10" defaultRowHeight="15" x14ac:dyDescent="0.25"/>
  <cols>
    <col min="1" max="1" width="28.7109375" customWidth="1"/>
    <col min="2" max="2" width="14.42578125" customWidth="1"/>
    <col min="3" max="3" width="12.5703125" customWidth="1"/>
    <col min="4" max="4" width="17.140625" customWidth="1"/>
    <col min="5" max="5" width="11.85546875" bestFit="1" customWidth="1"/>
    <col min="6" max="6" width="13.7109375" customWidth="1"/>
    <col min="7" max="12" width="11.85546875" customWidth="1"/>
    <col min="13" max="13" width="13.42578125" customWidth="1"/>
    <col min="14" max="46" width="11.85546875" customWidth="1"/>
    <col min="48" max="49" width="11.42578125" style="103"/>
  </cols>
  <sheetData>
    <row r="2" spans="1:50" ht="15.75" thickBot="1" x14ac:dyDescent="0.3"/>
    <row r="3" spans="1:50" ht="15.75" x14ac:dyDescent="0.25">
      <c r="J3" s="688" t="s">
        <v>398</v>
      </c>
      <c r="K3" s="689"/>
      <c r="L3" s="689"/>
      <c r="M3" s="689"/>
      <c r="N3" s="690"/>
    </row>
    <row r="4" spans="1:50" ht="15.75" x14ac:dyDescent="0.25">
      <c r="J4" s="682" t="s">
        <v>497</v>
      </c>
      <c r="K4" s="683"/>
      <c r="L4" s="683"/>
      <c r="M4" s="683"/>
      <c r="N4" s="684"/>
    </row>
    <row r="5" spans="1:50" ht="16.5" thickBot="1" x14ac:dyDescent="0.3">
      <c r="A5" s="657" t="s">
        <v>848</v>
      </c>
      <c r="B5" s="657"/>
      <c r="C5" s="657"/>
      <c r="D5" s="657"/>
      <c r="E5" s="657"/>
      <c r="F5" s="657"/>
      <c r="J5" s="682" t="s">
        <v>496</v>
      </c>
      <c r="K5" s="683"/>
      <c r="L5" s="683"/>
      <c r="M5" s="683"/>
      <c r="N5" s="684"/>
      <c r="P5" s="208" t="s">
        <v>10</v>
      </c>
      <c r="Q5" s="187" t="s">
        <v>720</v>
      </c>
      <c r="R5" s="187" t="s">
        <v>719</v>
      </c>
    </row>
    <row r="6" spans="1:50" ht="20.25" thickBot="1" x14ac:dyDescent="0.35">
      <c r="A6" s="633" t="s">
        <v>488</v>
      </c>
      <c r="B6" s="633"/>
      <c r="C6" s="633"/>
      <c r="D6" s="633"/>
      <c r="E6" s="633"/>
      <c r="F6" s="633"/>
      <c r="J6" s="691" t="s">
        <v>10</v>
      </c>
      <c r="K6" s="692"/>
      <c r="L6" s="692"/>
      <c r="M6" s="187" t="s">
        <v>719</v>
      </c>
      <c r="N6" s="199" t="e">
        <f>E28</f>
        <v>#DIV/0!</v>
      </c>
      <c r="P6" t="str">
        <f>J34</f>
        <v>SF-PY1. Identidad con la Teleología Institucional.</v>
      </c>
      <c r="Q6" s="202">
        <f>M34</f>
        <v>1</v>
      </c>
      <c r="R6" s="202" t="e">
        <f>N34</f>
        <v>#DIV/0!</v>
      </c>
    </row>
    <row r="7" spans="1:50" s="103" customFormat="1" ht="45.75" thickBot="1" x14ac:dyDescent="0.3">
      <c r="A7" s="187" t="s">
        <v>489</v>
      </c>
      <c r="B7" s="189" t="s">
        <v>490</v>
      </c>
      <c r="C7" s="187" t="s">
        <v>491</v>
      </c>
      <c r="D7" s="189" t="s">
        <v>492</v>
      </c>
      <c r="E7" s="189" t="s">
        <v>493</v>
      </c>
      <c r="F7" s="189" t="s">
        <v>494</v>
      </c>
      <c r="J7" s="691"/>
      <c r="K7" s="692"/>
      <c r="L7" s="692"/>
      <c r="M7" s="187" t="s">
        <v>6</v>
      </c>
      <c r="N7" s="196" t="s">
        <v>5</v>
      </c>
      <c r="P7" t="str">
        <f>J36</f>
        <v>SF-PY2. Creación de nueva Oferta Académica en las Sedes.</v>
      </c>
      <c r="Q7" s="202">
        <f>M36</f>
        <v>1</v>
      </c>
      <c r="R7" s="202" t="e">
        <f>N36</f>
        <v>#DIV/0!</v>
      </c>
      <c r="W7" s="103" t="s">
        <v>710</v>
      </c>
      <c r="X7" s="103" t="s">
        <v>711</v>
      </c>
      <c r="Y7" s="103" t="s">
        <v>712</v>
      </c>
      <c r="Z7" s="103" t="s">
        <v>713</v>
      </c>
      <c r="AA7" s="103" t="s">
        <v>714</v>
      </c>
      <c r="AC7" s="190" t="s">
        <v>715</v>
      </c>
      <c r="AD7" s="190" t="s">
        <v>716</v>
      </c>
    </row>
    <row r="8" spans="1:50" ht="15.75" thickBot="1" x14ac:dyDescent="0.3">
      <c r="A8" s="666" t="s">
        <v>22</v>
      </c>
      <c r="B8" s="669">
        <v>0.2</v>
      </c>
      <c r="C8" s="1" t="s">
        <v>23</v>
      </c>
      <c r="D8" s="211" t="e">
        <f>#REF!</f>
        <v>#REF!</v>
      </c>
      <c r="E8" s="670" t="e">
        <f>$B$8*$AB$8</f>
        <v>#DIV/0!</v>
      </c>
      <c r="F8" s="647">
        <f>AE8</f>
        <v>0</v>
      </c>
      <c r="G8" s="104"/>
      <c r="H8" s="104"/>
      <c r="I8" s="104"/>
      <c r="J8" s="674" t="str">
        <f>A8</f>
        <v>SF-PY1. Identidad con la Teleología Institucional.</v>
      </c>
      <c r="K8" s="675"/>
      <c r="L8" s="675"/>
      <c r="M8" s="693" t="e">
        <f>AB8</f>
        <v>#DIV/0!</v>
      </c>
      <c r="N8" s="679">
        <f>F8</f>
        <v>0</v>
      </c>
      <c r="O8" s="104"/>
      <c r="P8" t="str">
        <f>J38</f>
        <v>SF-PY3. Desarrollo Profesoral Permanente en lo Pedagógico, Disciplinar y Profesional.</v>
      </c>
      <c r="Q8" s="202">
        <f>M38</f>
        <v>1</v>
      </c>
      <c r="R8" s="202" t="e">
        <f>N38</f>
        <v>#DIV/0!</v>
      </c>
      <c r="S8" s="104"/>
      <c r="T8" s="104"/>
      <c r="U8" s="104" t="e">
        <f>IF(D8&lt;16%,"Rojo",IF(D8&lt;37%,"Amarillo",IF(D8&lt;50.1%,"Verde","Azul")))</f>
        <v>#REF!</v>
      </c>
      <c r="V8" s="104" t="s">
        <v>704</v>
      </c>
      <c r="W8" s="104">
        <f>COUNTIF($U$8:$U$10,"Rojo")</f>
        <v>0</v>
      </c>
      <c r="X8" s="104">
        <f>COUNTIF($U$8:$U$10,"Amarillo")</f>
        <v>0</v>
      </c>
      <c r="Y8" s="104">
        <f>COUNTIF($U$8:$U$10,"Verde")</f>
        <v>0</v>
      </c>
      <c r="Z8" s="104">
        <f>COUNTIF($U$8:$U$10,"Azul")</f>
        <v>0</v>
      </c>
      <c r="AA8" s="104">
        <f>SUM(W8:Z8)</f>
        <v>0</v>
      </c>
      <c r="AB8" s="192" t="e">
        <f t="shared" ref="AB8:AB13" si="0">((100/AA8)*SUM(X8:Z8)/100)</f>
        <v>#DIV/0!</v>
      </c>
      <c r="AC8" s="191" t="e">
        <f>#REF!+#REF!+#REF!</f>
        <v>#REF!</v>
      </c>
      <c r="AD8" s="191" t="e">
        <f>#REF!+#REF!+#REF!</f>
        <v>#REF!</v>
      </c>
      <c r="AE8" s="193">
        <f>IFERROR(AD8/AC8,0)</f>
        <v>0</v>
      </c>
      <c r="AF8" s="104"/>
      <c r="AG8" s="104"/>
      <c r="AH8" s="104"/>
      <c r="AI8" s="104"/>
      <c r="AJ8" s="104"/>
      <c r="AK8" s="104"/>
      <c r="AL8" s="104"/>
      <c r="AM8" s="104"/>
      <c r="AN8" s="104"/>
      <c r="AO8" s="104"/>
      <c r="AP8" s="104"/>
      <c r="AQ8" s="104"/>
      <c r="AR8" s="104"/>
      <c r="AS8" s="104"/>
      <c r="AT8" s="104"/>
      <c r="AV8" s="31"/>
      <c r="AW8" s="31"/>
      <c r="AX8" s="65"/>
    </row>
    <row r="9" spans="1:50" ht="15.75" thickBot="1" x14ac:dyDescent="0.3">
      <c r="A9" s="667"/>
      <c r="B9" s="516"/>
      <c r="C9" s="1" t="s">
        <v>26</v>
      </c>
      <c r="D9" s="287" t="e">
        <f>#REF!</f>
        <v>#REF!</v>
      </c>
      <c r="E9" s="470"/>
      <c r="F9" s="470"/>
      <c r="G9" s="104"/>
      <c r="H9" s="104"/>
      <c r="I9" s="104"/>
      <c r="J9" s="674"/>
      <c r="K9" s="675"/>
      <c r="L9" s="675"/>
      <c r="M9" s="694"/>
      <c r="N9" s="680"/>
      <c r="O9" s="104"/>
      <c r="P9" t="str">
        <f>J40</f>
        <v>SF-PY4.  Autoevalución y Acreditación de Programas Académicos de Pregrado y Postgrado.</v>
      </c>
      <c r="Q9" s="202">
        <f>M40</f>
        <v>1</v>
      </c>
      <c r="R9" s="202" t="e">
        <f>N40</f>
        <v>#DIV/0!</v>
      </c>
      <c r="S9" s="104"/>
      <c r="T9" s="104"/>
      <c r="U9" s="104" t="e">
        <f t="shared" ref="U9:U27" si="1">IF(D9&lt;16%,"Rojo",IF(D9&lt;37%,"Amarillo",IF(D9&lt;50.1%,"Verde","Azul")))</f>
        <v>#REF!</v>
      </c>
      <c r="V9" s="104" t="s">
        <v>705</v>
      </c>
      <c r="W9" s="104">
        <f>COUNTIF($U$11,"Rojo")</f>
        <v>0</v>
      </c>
      <c r="X9" s="104">
        <f>COUNTIF($U$11,"Amarillo")</f>
        <v>0</v>
      </c>
      <c r="Y9" s="104">
        <f>COUNTIF($U$11,"Verde")</f>
        <v>0</v>
      </c>
      <c r="Z9" s="104">
        <f>COUNTIF($U$11,"Azul")</f>
        <v>0</v>
      </c>
      <c r="AA9" s="104">
        <f t="shared" ref="AA9:AA13" si="2">SUM(W9:Z9)</f>
        <v>0</v>
      </c>
      <c r="AB9" s="192" t="e">
        <f t="shared" si="0"/>
        <v>#DIV/0!</v>
      </c>
      <c r="AC9" s="191" t="e">
        <f>#REF!</f>
        <v>#REF!</v>
      </c>
      <c r="AD9" s="191" t="e">
        <f>#REF!</f>
        <v>#REF!</v>
      </c>
      <c r="AE9" s="193">
        <f t="shared" ref="AE9:AE13" si="3">IFERROR(AD9/AC9,0)</f>
        <v>0</v>
      </c>
      <c r="AF9" s="104"/>
      <c r="AG9" s="104"/>
      <c r="AH9" s="104"/>
      <c r="AI9" s="104"/>
      <c r="AJ9" s="104"/>
      <c r="AK9" s="104"/>
      <c r="AL9" s="104"/>
      <c r="AM9" s="104"/>
      <c r="AN9" s="104"/>
      <c r="AO9" s="104"/>
      <c r="AP9" s="104"/>
      <c r="AQ9" s="104"/>
      <c r="AR9" s="104"/>
      <c r="AS9" s="104"/>
      <c r="AT9" s="104"/>
      <c r="AV9" s="31"/>
      <c r="AW9" s="31"/>
      <c r="AX9" s="65"/>
    </row>
    <row r="10" spans="1:50" ht="15" customHeight="1" thickBot="1" x14ac:dyDescent="0.3">
      <c r="A10" s="668"/>
      <c r="B10" s="517"/>
      <c r="C10" s="1" t="s">
        <v>29</v>
      </c>
      <c r="D10" s="287" t="e">
        <f>#REF!</f>
        <v>#REF!</v>
      </c>
      <c r="E10" s="470"/>
      <c r="F10" s="470"/>
      <c r="G10" s="104"/>
      <c r="H10" s="104"/>
      <c r="I10" s="104"/>
      <c r="J10" s="674" t="str">
        <f>A11</f>
        <v>SF-PY2. Creación de nueva Oferta Académica en las Sedes.</v>
      </c>
      <c r="K10" s="675"/>
      <c r="L10" s="675"/>
      <c r="M10" s="679" t="e">
        <f>AB9</f>
        <v>#DIV/0!</v>
      </c>
      <c r="N10" s="679">
        <f>F11</f>
        <v>0</v>
      </c>
      <c r="O10" s="104"/>
      <c r="P10" t="str">
        <f>J43</f>
        <v>SF-PY5.  Acreditación de Alta Calidad de la Universidad</v>
      </c>
      <c r="Q10" s="202">
        <f>M40</f>
        <v>1</v>
      </c>
      <c r="R10" s="202" t="e">
        <f>N40</f>
        <v>#DIV/0!</v>
      </c>
      <c r="S10" s="104"/>
      <c r="T10" s="104"/>
      <c r="U10" s="104" t="e">
        <f t="shared" si="1"/>
        <v>#REF!</v>
      </c>
      <c r="V10" s="104" t="s">
        <v>706</v>
      </c>
      <c r="W10" s="104">
        <f>COUNTIF($U$12:$U$15,"Rojo")</f>
        <v>0</v>
      </c>
      <c r="X10" s="104">
        <f>COUNTIF($U$12:$U$15,"Amarillo")</f>
        <v>0</v>
      </c>
      <c r="Y10" s="104">
        <f>COUNTIF($U$12:$U$15,"Verde")</f>
        <v>0</v>
      </c>
      <c r="Z10" s="104">
        <f>COUNTIF($U$12:$U$15,"Azul")</f>
        <v>0</v>
      </c>
      <c r="AA10" s="104">
        <f t="shared" si="2"/>
        <v>0</v>
      </c>
      <c r="AB10" s="192" t="e">
        <f t="shared" si="0"/>
        <v>#DIV/0!</v>
      </c>
      <c r="AC10" s="191" t="e">
        <f>#REF!+#REF!+#REF!+#REF!</f>
        <v>#REF!</v>
      </c>
      <c r="AD10" s="191" t="e">
        <f>#REF!+#REF!+#REF!+#REF!</f>
        <v>#REF!</v>
      </c>
      <c r="AE10" s="193">
        <f t="shared" si="3"/>
        <v>0</v>
      </c>
      <c r="AF10" s="104"/>
      <c r="AG10" s="104"/>
      <c r="AH10" s="104"/>
      <c r="AI10" s="104"/>
      <c r="AJ10" s="104"/>
      <c r="AK10" s="104"/>
      <c r="AL10" s="104"/>
      <c r="AM10" s="104"/>
      <c r="AN10" s="104"/>
      <c r="AO10" s="104"/>
      <c r="AP10" s="104"/>
      <c r="AQ10" s="104"/>
      <c r="AR10" s="104"/>
      <c r="AS10" s="104"/>
      <c r="AT10" s="104"/>
    </row>
    <row r="11" spans="1:50" ht="30.75" customHeight="1" thickBot="1" x14ac:dyDescent="0.3">
      <c r="A11" s="186" t="s">
        <v>32</v>
      </c>
      <c r="B11" s="105">
        <v>0.05</v>
      </c>
      <c r="C11" s="1" t="s">
        <v>33</v>
      </c>
      <c r="D11" s="287" t="e">
        <f>#REF!</f>
        <v>#REF!</v>
      </c>
      <c r="E11" s="221" t="e">
        <f>$B$11*$AB$9</f>
        <v>#DIV/0!</v>
      </c>
      <c r="F11" s="194">
        <f>AE9</f>
        <v>0</v>
      </c>
      <c r="G11" s="104"/>
      <c r="H11" s="104"/>
      <c r="I11" s="104"/>
      <c r="J11" s="674"/>
      <c r="K11" s="675"/>
      <c r="L11" s="675"/>
      <c r="M11" s="680"/>
      <c r="N11" s="680"/>
      <c r="O11" s="104"/>
      <c r="P11" t="str">
        <f>J45</f>
        <v>SF-PY7. Fortalecimiento de los Vínculos Universidad - Egresados.</v>
      </c>
      <c r="Q11" s="202">
        <f>M45</f>
        <v>1</v>
      </c>
      <c r="R11" s="202" t="e">
        <f>N45</f>
        <v>#DIV/0!</v>
      </c>
      <c r="S11" s="104"/>
      <c r="T11" s="104"/>
      <c r="U11" s="104" t="e">
        <f t="shared" si="1"/>
        <v>#REF!</v>
      </c>
      <c r="V11" s="104" t="s">
        <v>707</v>
      </c>
      <c r="W11" s="104">
        <f>COUNTIF($U$16:$U$20,"Rojo")</f>
        <v>0</v>
      </c>
      <c r="X11" s="104">
        <f>COUNTIF($U$16:$U$20,"Amarillo")</f>
        <v>0</v>
      </c>
      <c r="Y11" s="104">
        <f>COUNTIF($U$16:$U$20,"Verde")</f>
        <v>0</v>
      </c>
      <c r="Z11" s="104">
        <f>COUNTIF($U$16:$U$20,"Azul")</f>
        <v>0</v>
      </c>
      <c r="AA11" s="104">
        <f t="shared" si="2"/>
        <v>0</v>
      </c>
      <c r="AB11" s="192" t="e">
        <f t="shared" si="0"/>
        <v>#DIV/0!</v>
      </c>
      <c r="AC11" s="191" t="e">
        <f>#REF!+#REF!+#REF!+#REF!+#REF!</f>
        <v>#REF!</v>
      </c>
      <c r="AD11" s="191" t="e">
        <f>#REF!+#REF!+#REF!+#REF!+#REF!</f>
        <v>#REF!</v>
      </c>
      <c r="AE11" s="193">
        <f t="shared" si="3"/>
        <v>0</v>
      </c>
      <c r="AF11" s="104"/>
      <c r="AG11" s="104"/>
      <c r="AH11" s="104"/>
      <c r="AI11" s="104"/>
      <c r="AJ11" s="104"/>
      <c r="AK11" s="104"/>
      <c r="AL11" s="104"/>
      <c r="AM11" s="104"/>
      <c r="AN11" s="104"/>
      <c r="AO11" s="104"/>
      <c r="AP11" s="104"/>
      <c r="AQ11" s="104"/>
      <c r="AR11" s="104"/>
      <c r="AS11" s="104"/>
      <c r="AT11" s="104"/>
      <c r="AV11" s="31"/>
      <c r="AW11" s="31"/>
    </row>
    <row r="12" spans="1:50" x14ac:dyDescent="0.25">
      <c r="A12" s="666" t="s">
        <v>36</v>
      </c>
      <c r="B12" s="669">
        <v>0.25</v>
      </c>
      <c r="C12" s="10" t="s">
        <v>37</v>
      </c>
      <c r="D12" s="287" t="e">
        <f>#REF!</f>
        <v>#REF!</v>
      </c>
      <c r="E12" s="470" t="e">
        <f>$B$12*$AB$10</f>
        <v>#DIV/0!</v>
      </c>
      <c r="F12" s="647">
        <f>AE10</f>
        <v>0</v>
      </c>
      <c r="G12" s="104"/>
      <c r="H12" s="104"/>
      <c r="I12" s="104"/>
      <c r="J12" s="674" t="str">
        <f>A12</f>
        <v>SF-PY3. Desarrollo Profesoral Permanente en lo Pedagógico, Disciplinar y Profesional.</v>
      </c>
      <c r="K12" s="675"/>
      <c r="L12" s="675"/>
      <c r="M12" s="679" t="e">
        <f>AB10</f>
        <v>#DIV/0!</v>
      </c>
      <c r="N12" s="679">
        <f>F12</f>
        <v>0</v>
      </c>
      <c r="O12" s="104"/>
      <c r="Q12" s="104"/>
      <c r="R12" s="104"/>
      <c r="S12" s="104"/>
      <c r="T12" s="104"/>
      <c r="U12" s="104" t="e">
        <f t="shared" si="1"/>
        <v>#REF!</v>
      </c>
      <c r="V12" s="104" t="s">
        <v>708</v>
      </c>
      <c r="W12" s="104">
        <f>COUNTIF($U$21:$U$22,"Rojo")</f>
        <v>0</v>
      </c>
      <c r="X12" s="104">
        <f>COUNTIF($U$21:$U$22,"Amarillo")</f>
        <v>0</v>
      </c>
      <c r="Y12" s="104">
        <f>COUNTIF($U$21:$U$22,"Verde")</f>
        <v>0</v>
      </c>
      <c r="Z12" s="104">
        <f>COUNTIF($U$21:$U$22,"Azul")</f>
        <v>0</v>
      </c>
      <c r="AA12" s="104">
        <f t="shared" ref="AA12" si="4">SUM(W12:Z12)</f>
        <v>0</v>
      </c>
      <c r="AB12" s="192" t="e">
        <f t="shared" si="0"/>
        <v>#DIV/0!</v>
      </c>
      <c r="AC12" s="191" t="e">
        <f>#REF!+#REF!</f>
        <v>#REF!</v>
      </c>
      <c r="AD12" s="191" t="e">
        <f>#REF!+#REF!</f>
        <v>#REF!</v>
      </c>
      <c r="AE12" s="193">
        <f t="shared" si="3"/>
        <v>0</v>
      </c>
      <c r="AF12" s="104"/>
      <c r="AG12" s="104"/>
      <c r="AH12" s="104"/>
      <c r="AI12" s="104"/>
      <c r="AJ12" s="104"/>
      <c r="AK12" s="104"/>
      <c r="AL12" s="104"/>
      <c r="AM12" s="104"/>
      <c r="AN12" s="104"/>
      <c r="AO12" s="104"/>
      <c r="AP12" s="104"/>
      <c r="AQ12" s="104"/>
      <c r="AR12" s="104"/>
      <c r="AS12" s="104"/>
      <c r="AT12" s="104"/>
      <c r="AV12" s="31"/>
      <c r="AW12" s="31"/>
      <c r="AX12" s="65"/>
    </row>
    <row r="13" spans="1:50" x14ac:dyDescent="0.25">
      <c r="A13" s="667"/>
      <c r="B13" s="516"/>
      <c r="C13" s="1" t="s">
        <v>40</v>
      </c>
      <c r="D13" s="287" t="e">
        <f>#REF!</f>
        <v>#REF!</v>
      </c>
      <c r="E13" s="470"/>
      <c r="F13" s="470"/>
      <c r="G13" s="104"/>
      <c r="H13" s="104"/>
      <c r="I13" s="104"/>
      <c r="J13" s="674"/>
      <c r="K13" s="675"/>
      <c r="L13" s="675"/>
      <c r="M13" s="680"/>
      <c r="N13" s="680"/>
      <c r="O13" s="104"/>
      <c r="P13" s="104"/>
      <c r="Q13" s="104"/>
      <c r="R13" s="104"/>
      <c r="S13" s="104"/>
      <c r="T13" s="104"/>
      <c r="U13" s="104" t="e">
        <f t="shared" si="1"/>
        <v>#REF!</v>
      </c>
      <c r="V13" s="104" t="s">
        <v>717</v>
      </c>
      <c r="W13" s="104">
        <f>COUNTIF($U$23:$U$24,"Rojo")</f>
        <v>0</v>
      </c>
      <c r="X13" s="104">
        <f>COUNTIF($U$23:$U$24,"Amarillo")</f>
        <v>0</v>
      </c>
      <c r="Y13" s="104">
        <f>COUNTIF($U$23:$U$24,"Verde")</f>
        <v>0</v>
      </c>
      <c r="Z13" s="104">
        <f>COUNTIF($U$23:$U$24,"Azul")</f>
        <v>0</v>
      </c>
      <c r="AA13" s="104">
        <f t="shared" si="2"/>
        <v>0</v>
      </c>
      <c r="AB13" s="192" t="e">
        <f t="shared" si="0"/>
        <v>#DIV/0!</v>
      </c>
      <c r="AC13" s="191" t="e">
        <f>#REF!+#REF!</f>
        <v>#REF!</v>
      </c>
      <c r="AD13" s="191" t="e">
        <f>#REF!+#REF!</f>
        <v>#REF!</v>
      </c>
      <c r="AE13" s="193">
        <f t="shared" si="3"/>
        <v>0</v>
      </c>
      <c r="AF13" s="104"/>
      <c r="AG13" s="104"/>
      <c r="AH13" s="104"/>
      <c r="AI13" s="104"/>
      <c r="AJ13" s="104"/>
      <c r="AK13" s="104"/>
      <c r="AL13" s="104"/>
      <c r="AM13" s="104"/>
      <c r="AN13" s="104"/>
      <c r="AO13" s="104"/>
      <c r="AP13" s="104"/>
      <c r="AQ13" s="104"/>
      <c r="AR13" s="104"/>
      <c r="AS13" s="104"/>
      <c r="AT13" s="104"/>
      <c r="AV13" s="31"/>
      <c r="AW13" s="31"/>
      <c r="AX13" s="65"/>
    </row>
    <row r="14" spans="1:50" ht="15" customHeight="1" x14ac:dyDescent="0.25">
      <c r="A14" s="667"/>
      <c r="B14" s="516"/>
      <c r="C14" s="1" t="s">
        <v>43</v>
      </c>
      <c r="D14" s="287" t="e">
        <f>#REF!</f>
        <v>#REF!</v>
      </c>
      <c r="E14" s="470"/>
      <c r="F14" s="470"/>
      <c r="G14" s="104"/>
      <c r="H14" s="104"/>
      <c r="I14" s="104"/>
      <c r="J14" s="674" t="str">
        <f>A16</f>
        <v>SF-PY4.  Autoevalución y Acreditación de Programas Académicos de Pregrado y Postgrado.</v>
      </c>
      <c r="K14" s="675"/>
      <c r="L14" s="675"/>
      <c r="M14" s="679" t="e">
        <f>AB11</f>
        <v>#DIV/0!</v>
      </c>
      <c r="N14" s="679">
        <f>F16</f>
        <v>0</v>
      </c>
      <c r="O14" s="104"/>
      <c r="P14" s="104"/>
      <c r="Q14" s="104"/>
      <c r="R14" s="104"/>
      <c r="S14" s="104"/>
      <c r="T14" s="104"/>
      <c r="U14" s="104" t="e">
        <f t="shared" si="1"/>
        <v>#REF!</v>
      </c>
      <c r="V14" s="104" t="s">
        <v>709</v>
      </c>
      <c r="W14" s="104">
        <f>COUNTIF($U$25:$U$27,"Rojo")</f>
        <v>0</v>
      </c>
      <c r="X14" s="104">
        <f>COUNTIF($U$25:$U$27,"Amarillo")</f>
        <v>0</v>
      </c>
      <c r="Y14" s="104">
        <f>COUNTIF($U$25:$U$27,"Verde")</f>
        <v>0</v>
      </c>
      <c r="Z14" s="104">
        <f>COUNTIF($U$25:$U$27,"Azul")</f>
        <v>0</v>
      </c>
      <c r="AA14" s="104">
        <f t="shared" ref="AA14" si="5">SUM(W14:Z14)</f>
        <v>0</v>
      </c>
      <c r="AB14" s="192" t="e">
        <f t="shared" ref="AB14" si="6">((100/AA14)*SUM(X14:Z14)/100)</f>
        <v>#DIV/0!</v>
      </c>
      <c r="AC14" s="191" t="e">
        <f>#REF!+#REF!+#REF!</f>
        <v>#REF!</v>
      </c>
      <c r="AD14" s="191" t="e">
        <f>#REF!+#REF!+#REF!</f>
        <v>#REF!</v>
      </c>
      <c r="AE14" s="193">
        <f t="shared" ref="AE14" si="7">IFERROR(AD14/AC14,0)</f>
        <v>0</v>
      </c>
      <c r="AF14" s="104"/>
      <c r="AG14" s="104"/>
      <c r="AH14" s="104"/>
      <c r="AI14" s="104"/>
      <c r="AJ14" s="104"/>
      <c r="AK14" s="104"/>
      <c r="AL14" s="104"/>
      <c r="AM14" s="104"/>
      <c r="AN14" s="104"/>
      <c r="AO14" s="104"/>
      <c r="AP14" s="104"/>
      <c r="AQ14" s="104"/>
      <c r="AR14" s="104"/>
      <c r="AS14" s="104"/>
      <c r="AT14" s="104"/>
    </row>
    <row r="15" spans="1:50" x14ac:dyDescent="0.25">
      <c r="A15" s="668"/>
      <c r="B15" s="517"/>
      <c r="C15" s="1" t="s">
        <v>45</v>
      </c>
      <c r="D15" s="287" t="e">
        <f>#REF!</f>
        <v>#REF!</v>
      </c>
      <c r="E15" s="470"/>
      <c r="F15" s="470"/>
      <c r="G15" s="104"/>
      <c r="H15" s="104"/>
      <c r="I15" s="104"/>
      <c r="J15" s="674"/>
      <c r="K15" s="675"/>
      <c r="L15" s="675"/>
      <c r="M15" s="681"/>
      <c r="N15" s="681"/>
      <c r="O15" s="104"/>
      <c r="P15" s="104"/>
      <c r="Q15" s="104"/>
      <c r="R15" s="104"/>
      <c r="S15" s="104"/>
      <c r="T15" s="104"/>
      <c r="U15" s="104" t="e">
        <f t="shared" si="1"/>
        <v>#REF!</v>
      </c>
      <c r="V15" s="104"/>
      <c r="W15" s="104"/>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row>
    <row r="16" spans="1:50" ht="20.25" customHeight="1" x14ac:dyDescent="0.25">
      <c r="A16" s="666" t="s">
        <v>50</v>
      </c>
      <c r="B16" s="669">
        <v>0.2</v>
      </c>
      <c r="C16" s="10" t="s">
        <v>51</v>
      </c>
      <c r="D16" s="287" t="e">
        <f>#REF!</f>
        <v>#REF!</v>
      </c>
      <c r="E16" s="470" t="e">
        <f>$B$16*$AB$11</f>
        <v>#DIV/0!</v>
      </c>
      <c r="F16" s="647">
        <f>AE11</f>
        <v>0</v>
      </c>
      <c r="G16" s="104"/>
      <c r="H16" s="104"/>
      <c r="I16" s="104"/>
      <c r="J16" s="674"/>
      <c r="K16" s="675"/>
      <c r="L16" s="675"/>
      <c r="M16" s="680"/>
      <c r="N16" s="680"/>
      <c r="O16" s="104"/>
      <c r="P16" s="104"/>
      <c r="Q16" s="104"/>
      <c r="R16" s="104"/>
      <c r="S16" s="104"/>
      <c r="T16" s="104"/>
      <c r="U16" s="104" t="e">
        <f t="shared" si="1"/>
        <v>#REF!</v>
      </c>
      <c r="V16" s="104"/>
      <c r="W16" s="104"/>
      <c r="X16" s="104"/>
      <c r="Y16" s="104"/>
      <c r="Z16" s="104"/>
      <c r="AA16" s="104"/>
      <c r="AB16" s="104"/>
      <c r="AC16" s="104"/>
      <c r="AD16" s="104"/>
      <c r="AE16" s="104"/>
      <c r="AF16" s="104"/>
      <c r="AG16" s="104"/>
      <c r="AH16" s="104"/>
      <c r="AI16" s="104"/>
      <c r="AJ16" s="104"/>
      <c r="AK16" s="104"/>
      <c r="AL16" s="104"/>
      <c r="AM16" s="104"/>
      <c r="AN16" s="104"/>
      <c r="AO16" s="104"/>
      <c r="AP16" s="104"/>
      <c r="AQ16" s="104"/>
      <c r="AR16" s="104"/>
      <c r="AS16" s="104"/>
      <c r="AT16" s="104"/>
      <c r="AV16" s="31"/>
      <c r="AW16" s="31"/>
      <c r="AX16" s="65"/>
    </row>
    <row r="17" spans="1:50" x14ac:dyDescent="0.25">
      <c r="A17" s="667"/>
      <c r="B17" s="516"/>
      <c r="C17" s="1" t="s">
        <v>55</v>
      </c>
      <c r="D17" s="287" t="e">
        <f>#REF!</f>
        <v>#REF!</v>
      </c>
      <c r="E17" s="470"/>
      <c r="F17" s="470"/>
      <c r="G17" s="104"/>
      <c r="H17" s="104"/>
      <c r="I17" s="104"/>
      <c r="J17" s="674" t="str">
        <f>A21</f>
        <v>SF-PY5.  Acreditación de Alta Calidad de la Universidad</v>
      </c>
      <c r="K17" s="675"/>
      <c r="L17" s="675"/>
      <c r="M17" s="679" t="e">
        <f>AB12</f>
        <v>#DIV/0!</v>
      </c>
      <c r="N17" s="679">
        <f>F21</f>
        <v>0</v>
      </c>
      <c r="O17" s="104"/>
      <c r="P17" s="104"/>
      <c r="Q17" s="104"/>
      <c r="R17" s="104"/>
      <c r="S17" s="104"/>
      <c r="T17" s="104"/>
      <c r="U17" s="104" t="e">
        <f t="shared" si="1"/>
        <v>#REF!</v>
      </c>
      <c r="V17" s="104"/>
      <c r="W17" s="104"/>
      <c r="X17" s="104"/>
      <c r="Y17" s="104"/>
      <c r="Z17" s="104"/>
      <c r="AA17" s="104"/>
      <c r="AB17" s="104"/>
      <c r="AC17" s="104"/>
      <c r="AD17" s="104"/>
      <c r="AE17" s="104"/>
      <c r="AF17" s="104"/>
      <c r="AG17" s="104"/>
      <c r="AH17" s="104"/>
      <c r="AI17" s="104"/>
      <c r="AJ17" s="104"/>
      <c r="AK17" s="104"/>
      <c r="AL17" s="104"/>
      <c r="AM17" s="104"/>
      <c r="AN17" s="104"/>
      <c r="AO17" s="104"/>
      <c r="AP17" s="104"/>
      <c r="AQ17" s="104"/>
      <c r="AR17" s="104"/>
      <c r="AS17" s="104"/>
      <c r="AT17" s="104"/>
      <c r="AV17" s="31"/>
      <c r="AW17" s="31"/>
      <c r="AX17" s="65"/>
    </row>
    <row r="18" spans="1:50" x14ac:dyDescent="0.25">
      <c r="A18" s="667"/>
      <c r="B18" s="516"/>
      <c r="C18" s="1" t="s">
        <v>58</v>
      </c>
      <c r="D18" s="287" t="e">
        <f>#REF!</f>
        <v>#REF!</v>
      </c>
      <c r="E18" s="470"/>
      <c r="F18" s="470"/>
      <c r="G18" s="104"/>
      <c r="H18" s="104"/>
      <c r="I18" s="104"/>
      <c r="J18" s="674"/>
      <c r="K18" s="675"/>
      <c r="L18" s="675"/>
      <c r="M18" s="680"/>
      <c r="N18" s="680"/>
      <c r="O18" s="104"/>
      <c r="P18" s="104"/>
      <c r="Q18" s="104"/>
      <c r="R18" s="104"/>
      <c r="S18" s="104"/>
      <c r="T18" s="104"/>
      <c r="U18" s="104" t="e">
        <f t="shared" si="1"/>
        <v>#REF!</v>
      </c>
      <c r="V18" s="104"/>
      <c r="W18" s="104"/>
      <c r="X18" s="104"/>
      <c r="Y18" s="104"/>
      <c r="Z18" s="104"/>
      <c r="AA18" s="104"/>
      <c r="AB18" s="104"/>
      <c r="AC18" s="104"/>
      <c r="AD18" s="104"/>
      <c r="AE18" s="104"/>
      <c r="AF18" s="104"/>
      <c r="AG18" s="104"/>
      <c r="AH18" s="104"/>
      <c r="AI18" s="104"/>
      <c r="AJ18" s="104"/>
      <c r="AK18" s="104"/>
      <c r="AL18" s="104"/>
      <c r="AM18" s="104"/>
      <c r="AN18" s="104"/>
      <c r="AO18" s="104"/>
      <c r="AP18" s="104"/>
      <c r="AQ18" s="104"/>
      <c r="AR18" s="104"/>
      <c r="AS18" s="104"/>
      <c r="AT18" s="104"/>
    </row>
    <row r="19" spans="1:50" x14ac:dyDescent="0.25">
      <c r="A19" s="667"/>
      <c r="B19" s="516"/>
      <c r="C19" s="1" t="s">
        <v>60</v>
      </c>
      <c r="D19" s="287" t="e">
        <f>#REF!</f>
        <v>#REF!</v>
      </c>
      <c r="E19" s="470"/>
      <c r="F19" s="470"/>
      <c r="G19" s="104"/>
      <c r="H19" s="104"/>
      <c r="I19" s="104"/>
      <c r="J19" s="674" t="str">
        <f>A25</f>
        <v>SF-PY7. Fortalecimiento de los Vínculos Universidad - Egresados.</v>
      </c>
      <c r="K19" s="675"/>
      <c r="L19" s="675"/>
      <c r="M19" s="679" t="e">
        <f>AB13</f>
        <v>#DIV/0!</v>
      </c>
      <c r="N19" s="679">
        <f>F25</f>
        <v>0</v>
      </c>
      <c r="O19" s="104"/>
      <c r="P19" s="104"/>
      <c r="Q19" s="104"/>
      <c r="R19" s="104"/>
      <c r="S19" s="104"/>
      <c r="T19" s="104"/>
      <c r="U19" s="104" t="e">
        <f t="shared" si="1"/>
        <v>#REF!</v>
      </c>
      <c r="V19" s="104"/>
      <c r="W19" s="104"/>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row>
    <row r="20" spans="1:50" x14ac:dyDescent="0.25">
      <c r="A20" s="668"/>
      <c r="B20" s="517"/>
      <c r="C20" s="1" t="s">
        <v>63</v>
      </c>
      <c r="D20" s="287" t="e">
        <f>#REF!</f>
        <v>#REF!</v>
      </c>
      <c r="E20" s="470"/>
      <c r="F20" s="470"/>
      <c r="G20" s="104"/>
      <c r="H20" s="104"/>
      <c r="I20" s="104"/>
      <c r="J20" s="674"/>
      <c r="K20" s="675"/>
      <c r="L20" s="675"/>
      <c r="M20" s="680"/>
      <c r="N20" s="680"/>
      <c r="O20" s="104"/>
      <c r="P20" s="104"/>
      <c r="Q20" s="104"/>
      <c r="R20" s="104"/>
      <c r="S20" s="104"/>
      <c r="T20" s="104"/>
      <c r="U20" s="104" t="e">
        <f t="shared" si="1"/>
        <v>#REF!</v>
      </c>
      <c r="V20" s="104"/>
      <c r="W20" s="104"/>
      <c r="X20" s="104"/>
      <c r="Y20" s="104"/>
      <c r="Z20" s="104"/>
      <c r="AA20" s="104"/>
      <c r="AB20" s="104"/>
      <c r="AC20" s="104"/>
      <c r="AD20" s="104"/>
      <c r="AE20" s="104"/>
      <c r="AF20" s="104"/>
      <c r="AG20" s="104"/>
      <c r="AH20" s="104"/>
      <c r="AI20" s="104"/>
      <c r="AJ20" s="104"/>
      <c r="AK20" s="104"/>
      <c r="AL20" s="104"/>
      <c r="AM20" s="104"/>
      <c r="AN20" s="104"/>
      <c r="AO20" s="104"/>
      <c r="AP20" s="104"/>
      <c r="AQ20" s="104"/>
      <c r="AR20" s="104"/>
      <c r="AS20" s="104"/>
      <c r="AT20" s="104"/>
    </row>
    <row r="21" spans="1:50" ht="22.5" customHeight="1" thickBot="1" x14ac:dyDescent="0.3">
      <c r="A21" s="673" t="s">
        <v>65</v>
      </c>
      <c r="B21" s="669">
        <v>0.2</v>
      </c>
      <c r="C21" s="10" t="s">
        <v>66</v>
      </c>
      <c r="D21" s="287" t="e">
        <f>#REF!</f>
        <v>#REF!</v>
      </c>
      <c r="E21" s="470" t="e">
        <f>$B$21*$AB$12</f>
        <v>#DIV/0!</v>
      </c>
      <c r="F21" s="647">
        <f>AE12</f>
        <v>0</v>
      </c>
      <c r="G21" s="104"/>
      <c r="H21" s="104"/>
      <c r="I21" s="104"/>
      <c r="J21" s="671" t="s">
        <v>718</v>
      </c>
      <c r="K21" s="672"/>
      <c r="L21" s="672"/>
      <c r="M21" s="197" t="e">
        <f>AVERAGE(M8:M20)</f>
        <v>#DIV/0!</v>
      </c>
      <c r="N21" s="198">
        <f>AVERAGE(N8:N20)</f>
        <v>0</v>
      </c>
      <c r="O21" s="104"/>
      <c r="P21" s="104"/>
      <c r="Q21" s="104"/>
      <c r="R21" s="104"/>
      <c r="S21" s="104"/>
      <c r="T21" s="104"/>
      <c r="U21" s="104" t="e">
        <f t="shared" si="1"/>
        <v>#REF!</v>
      </c>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104"/>
      <c r="AV21" s="31"/>
      <c r="AW21" s="31"/>
      <c r="AX21" s="65"/>
    </row>
    <row r="22" spans="1:50" ht="24" customHeight="1" x14ac:dyDescent="0.25">
      <c r="A22" s="673"/>
      <c r="B22" s="517"/>
      <c r="C22" s="10" t="s">
        <v>68</v>
      </c>
      <c r="D22" s="287" t="e">
        <f>#REF!</f>
        <v>#REF!</v>
      </c>
      <c r="E22" s="470"/>
      <c r="F22" s="470"/>
      <c r="G22" s="104"/>
      <c r="H22" s="104"/>
      <c r="I22" s="104"/>
      <c r="J22" s="104"/>
      <c r="K22" s="104"/>
      <c r="L22" s="104"/>
      <c r="M22" s="104"/>
      <c r="N22" s="104"/>
      <c r="O22" s="104"/>
      <c r="P22" s="104"/>
      <c r="Q22" s="104"/>
      <c r="R22" s="104"/>
      <c r="S22" s="104"/>
      <c r="T22" s="104"/>
      <c r="U22" s="104" t="e">
        <f t="shared" si="1"/>
        <v>#REF!</v>
      </c>
      <c r="V22" s="104"/>
      <c r="W22" s="104"/>
      <c r="X22" s="104"/>
      <c r="Y22" s="104"/>
      <c r="Z22" s="104"/>
      <c r="AA22" s="104"/>
      <c r="AB22" s="104"/>
      <c r="AC22" s="104"/>
      <c r="AD22" s="104"/>
      <c r="AE22" s="104"/>
      <c r="AF22" s="104"/>
      <c r="AG22" s="104"/>
      <c r="AH22" s="104"/>
      <c r="AI22" s="104"/>
      <c r="AJ22" s="104"/>
      <c r="AK22" s="104"/>
      <c r="AL22" s="104"/>
      <c r="AM22" s="104"/>
      <c r="AN22" s="104"/>
      <c r="AO22" s="104"/>
      <c r="AP22" s="104"/>
      <c r="AQ22" s="104"/>
      <c r="AR22" s="104"/>
      <c r="AS22" s="104"/>
      <c r="AT22" s="104"/>
      <c r="AV22" s="31"/>
      <c r="AW22" s="31"/>
      <c r="AX22" s="65"/>
    </row>
    <row r="23" spans="1:50" ht="15" customHeight="1" x14ac:dyDescent="0.25">
      <c r="A23" s="673" t="s">
        <v>73</v>
      </c>
      <c r="B23" s="669">
        <v>0.05</v>
      </c>
      <c r="C23" s="10" t="s">
        <v>74</v>
      </c>
      <c r="D23" s="287" t="e">
        <f>#REF!</f>
        <v>#REF!</v>
      </c>
      <c r="E23" s="670" t="e">
        <f>$B$23*$AB$13</f>
        <v>#DIV/0!</v>
      </c>
      <c r="F23" s="647">
        <f>AE13</f>
        <v>0</v>
      </c>
      <c r="G23" s="104"/>
      <c r="H23" s="104"/>
      <c r="I23" s="104"/>
      <c r="J23" s="104"/>
      <c r="K23" s="104"/>
      <c r="L23" s="104"/>
      <c r="M23" s="104"/>
      <c r="N23" s="104"/>
      <c r="O23" s="104"/>
      <c r="P23" s="104"/>
      <c r="Q23" s="104"/>
      <c r="R23" s="104"/>
      <c r="S23" s="104"/>
      <c r="T23" s="104"/>
      <c r="U23" s="104" t="e">
        <f t="shared" si="1"/>
        <v>#REF!</v>
      </c>
      <c r="V23" s="104"/>
      <c r="W23" s="104"/>
      <c r="X23" s="104"/>
      <c r="Y23" s="104"/>
      <c r="Z23" s="104"/>
      <c r="AA23" s="104"/>
      <c r="AB23" s="104"/>
      <c r="AC23" s="104"/>
      <c r="AD23" s="104"/>
      <c r="AE23" s="104"/>
      <c r="AF23" s="104"/>
      <c r="AG23" s="104"/>
      <c r="AH23" s="104"/>
      <c r="AI23" s="104"/>
      <c r="AJ23" s="104"/>
      <c r="AK23" s="104"/>
      <c r="AL23" s="104"/>
      <c r="AM23" s="104"/>
      <c r="AN23" s="104"/>
      <c r="AO23" s="104"/>
      <c r="AP23" s="104"/>
      <c r="AQ23" s="104"/>
      <c r="AR23" s="104"/>
      <c r="AS23" s="104"/>
      <c r="AT23" s="104"/>
      <c r="AV23" s="31"/>
      <c r="AW23" s="31"/>
      <c r="AX23" s="65"/>
    </row>
    <row r="24" spans="1:50" x14ac:dyDescent="0.25">
      <c r="A24" s="673"/>
      <c r="B24" s="517"/>
      <c r="C24" s="10" t="s">
        <v>74</v>
      </c>
      <c r="D24" s="287" t="e">
        <f>#REF!</f>
        <v>#REF!</v>
      </c>
      <c r="E24" s="470"/>
      <c r="F24" s="470"/>
      <c r="G24" s="104"/>
      <c r="H24" s="104"/>
      <c r="I24" s="104"/>
      <c r="J24" s="104"/>
      <c r="K24" s="104"/>
      <c r="L24" s="104"/>
      <c r="M24" s="104"/>
      <c r="N24" s="104"/>
      <c r="O24" s="104"/>
      <c r="P24" s="104"/>
      <c r="Q24" s="104"/>
      <c r="R24" s="104"/>
      <c r="S24" s="104"/>
      <c r="T24" s="104"/>
      <c r="U24" s="104" t="e">
        <f t="shared" si="1"/>
        <v>#REF!</v>
      </c>
      <c r="V24" s="104"/>
      <c r="W24" s="104"/>
      <c r="X24" s="104"/>
      <c r="Y24" s="104"/>
      <c r="Z24" s="104"/>
      <c r="AA24" s="104"/>
      <c r="AB24" s="104"/>
      <c r="AC24" s="104"/>
      <c r="AD24" s="104"/>
      <c r="AE24" s="104"/>
      <c r="AF24" s="104"/>
      <c r="AG24" s="104"/>
      <c r="AH24" s="104"/>
      <c r="AI24" s="104"/>
      <c r="AJ24" s="104"/>
      <c r="AK24" s="104"/>
      <c r="AL24" s="104"/>
      <c r="AM24" s="104"/>
      <c r="AN24" s="104"/>
      <c r="AO24" s="104"/>
      <c r="AP24" s="104"/>
      <c r="AQ24" s="104"/>
      <c r="AR24" s="104"/>
      <c r="AS24" s="104"/>
      <c r="AT24" s="104"/>
      <c r="AV24" s="31"/>
      <c r="AW24" s="31"/>
      <c r="AX24" s="65"/>
    </row>
    <row r="25" spans="1:50" x14ac:dyDescent="0.25">
      <c r="A25" s="673" t="s">
        <v>76</v>
      </c>
      <c r="B25" s="669">
        <v>0.05</v>
      </c>
      <c r="C25" s="1" t="s">
        <v>77</v>
      </c>
      <c r="D25" s="287" t="e">
        <f>#REF!</f>
        <v>#REF!</v>
      </c>
      <c r="E25" s="470" t="e">
        <f>$B$25*$AB$13</f>
        <v>#DIV/0!</v>
      </c>
      <c r="F25" s="647">
        <f>AE14</f>
        <v>0</v>
      </c>
      <c r="G25" s="104"/>
      <c r="H25" s="104"/>
      <c r="I25" s="104"/>
      <c r="J25" s="104"/>
      <c r="K25" s="104"/>
      <c r="L25" s="104"/>
      <c r="M25" s="104"/>
      <c r="N25" s="104"/>
      <c r="O25" s="104"/>
      <c r="P25" s="104"/>
      <c r="Q25" s="104"/>
      <c r="R25" s="104"/>
      <c r="S25" s="104"/>
      <c r="T25" s="104"/>
      <c r="U25" s="104" t="e">
        <f t="shared" si="1"/>
        <v>#REF!</v>
      </c>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row>
    <row r="26" spans="1:50" ht="30" customHeight="1" x14ac:dyDescent="0.25">
      <c r="A26" s="673"/>
      <c r="B26" s="516"/>
      <c r="C26" s="1" t="s">
        <v>79</v>
      </c>
      <c r="D26" s="287" t="e">
        <f>#REF!</f>
        <v>#REF!</v>
      </c>
      <c r="E26" s="470"/>
      <c r="F26" s="470"/>
      <c r="G26" s="104"/>
      <c r="H26" s="104"/>
      <c r="I26" s="104"/>
      <c r="J26" s="104"/>
      <c r="K26" s="104"/>
      <c r="L26" s="104"/>
      <c r="M26" s="104"/>
      <c r="N26" s="104"/>
      <c r="O26" s="104"/>
      <c r="P26" s="104"/>
      <c r="Q26" s="104"/>
      <c r="R26" s="104"/>
      <c r="S26" s="104"/>
      <c r="T26" s="104"/>
      <c r="U26" s="104" t="e">
        <f t="shared" si="1"/>
        <v>#REF!</v>
      </c>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row>
    <row r="27" spans="1:50" ht="30" customHeight="1" x14ac:dyDescent="0.25">
      <c r="A27" s="673"/>
      <c r="B27" s="517"/>
      <c r="C27" s="1" t="s">
        <v>82</v>
      </c>
      <c r="D27" s="287" t="e">
        <f>#REF!</f>
        <v>#REF!</v>
      </c>
      <c r="E27" s="470"/>
      <c r="F27" s="470"/>
      <c r="G27" s="104"/>
      <c r="H27" s="104"/>
      <c r="I27" s="104"/>
      <c r="J27" s="104"/>
      <c r="K27" s="104"/>
      <c r="L27" s="104"/>
      <c r="M27" s="104"/>
      <c r="N27" s="104"/>
      <c r="O27" s="104"/>
      <c r="P27" s="104"/>
      <c r="Q27" s="104"/>
      <c r="R27" s="104"/>
      <c r="S27" s="104"/>
      <c r="T27" s="104"/>
      <c r="U27" s="104" t="e">
        <f t="shared" si="1"/>
        <v>#REF!</v>
      </c>
      <c r="V27" s="104"/>
      <c r="W27" s="104"/>
      <c r="X27" s="104"/>
      <c r="Y27" s="104"/>
      <c r="Z27" s="104"/>
      <c r="AA27" s="104"/>
      <c r="AB27" s="104"/>
      <c r="AC27" s="104"/>
      <c r="AD27" s="104"/>
      <c r="AE27" s="104"/>
      <c r="AF27" s="104"/>
      <c r="AG27" s="104"/>
      <c r="AH27" s="104"/>
      <c r="AI27" s="104"/>
      <c r="AJ27" s="104"/>
      <c r="AK27" s="104"/>
      <c r="AL27" s="104"/>
      <c r="AM27" s="104"/>
      <c r="AN27" s="104"/>
      <c r="AO27" s="104"/>
      <c r="AP27" s="104"/>
      <c r="AQ27" s="104"/>
      <c r="AR27" s="104"/>
      <c r="AS27" s="104"/>
      <c r="AT27" s="104"/>
    </row>
    <row r="28" spans="1:50" ht="30" customHeight="1" x14ac:dyDescent="0.25">
      <c r="A28" s="676" t="s">
        <v>495</v>
      </c>
      <c r="B28" s="677"/>
      <c r="C28" s="678"/>
      <c r="D28" s="308"/>
      <c r="E28" s="195" t="e">
        <f>AVERAGE(E8:E27)</f>
        <v>#DIV/0!</v>
      </c>
      <c r="F28" s="195">
        <f>AVERAGE(F8:F27)</f>
        <v>0</v>
      </c>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row>
    <row r="29" spans="1:50" ht="15.75" thickBot="1" x14ac:dyDescent="0.3">
      <c r="A29" s="106"/>
      <c r="B29" s="107"/>
      <c r="C29" s="108"/>
      <c r="D29" s="109"/>
      <c r="AV29" s="31"/>
      <c r="AW29" s="31"/>
    </row>
    <row r="30" spans="1:50" ht="15.75" x14ac:dyDescent="0.25">
      <c r="A30" s="106"/>
      <c r="B30" s="107"/>
      <c r="C30" s="108"/>
      <c r="D30" s="110"/>
      <c r="J30" s="688" t="s">
        <v>398</v>
      </c>
      <c r="K30" s="689"/>
      <c r="L30" s="689"/>
      <c r="M30" s="689"/>
      <c r="N30" s="690"/>
      <c r="AV30" s="31"/>
      <c r="AW30" s="31"/>
    </row>
    <row r="31" spans="1:50" ht="15.75" x14ac:dyDescent="0.25">
      <c r="A31" s="213" t="s">
        <v>489</v>
      </c>
      <c r="B31" s="213" t="s">
        <v>729</v>
      </c>
      <c r="C31" s="213" t="s">
        <v>730</v>
      </c>
      <c r="D31" s="213" t="s">
        <v>7</v>
      </c>
      <c r="J31" s="682" t="s">
        <v>497</v>
      </c>
      <c r="K31" s="683"/>
      <c r="L31" s="683"/>
      <c r="M31" s="683"/>
      <c r="N31" s="684"/>
    </row>
    <row r="32" spans="1:50" ht="30" x14ac:dyDescent="0.25">
      <c r="A32" s="11" t="str">
        <f>A8</f>
        <v>SF-PY1. Identidad con la Teleología Institucional.</v>
      </c>
      <c r="B32" s="214" t="e">
        <f>AB8</f>
        <v>#DIV/0!</v>
      </c>
      <c r="C32" s="214">
        <f>F8</f>
        <v>0</v>
      </c>
      <c r="D32" s="214" t="e">
        <f>(B32+C32)/2</f>
        <v>#DIV/0!</v>
      </c>
      <c r="J32" s="682" t="s">
        <v>496</v>
      </c>
      <c r="K32" s="683"/>
      <c r="L32" s="683"/>
      <c r="M32" s="683"/>
      <c r="N32" s="684"/>
    </row>
    <row r="33" spans="1:14" ht="45" x14ac:dyDescent="0.25">
      <c r="A33" s="11" t="str">
        <f>A11</f>
        <v>SF-PY2. Creación de nueva Oferta Académica en las Sedes.</v>
      </c>
      <c r="B33" s="288" t="e">
        <f t="shared" ref="B33:B38" si="8">AB9</f>
        <v>#DIV/0!</v>
      </c>
      <c r="C33" s="288">
        <f>F11</f>
        <v>0</v>
      </c>
      <c r="D33" s="214" t="e">
        <f t="shared" ref="D33:D36" si="9">(B33+C33)/2</f>
        <v>#DIV/0!</v>
      </c>
      <c r="J33" s="685" t="s">
        <v>10</v>
      </c>
      <c r="K33" s="686"/>
      <c r="L33" s="687"/>
      <c r="M33" s="187" t="s">
        <v>720</v>
      </c>
      <c r="N33" s="187" t="s">
        <v>719</v>
      </c>
    </row>
    <row r="34" spans="1:14" ht="45" x14ac:dyDescent="0.25">
      <c r="A34" s="11" t="str">
        <f>A12</f>
        <v>SF-PY3. Desarrollo Profesoral Permanente en lo Pedagógico, Disciplinar y Profesional.</v>
      </c>
      <c r="B34" s="288" t="e">
        <f t="shared" si="8"/>
        <v>#DIV/0!</v>
      </c>
      <c r="C34" s="288">
        <f>F12</f>
        <v>0</v>
      </c>
      <c r="D34" s="214" t="e">
        <f t="shared" si="9"/>
        <v>#DIV/0!</v>
      </c>
      <c r="J34" s="674" t="str">
        <f>J8</f>
        <v>SF-PY1. Identidad con la Teleología Institucional.</v>
      </c>
      <c r="K34" s="675"/>
      <c r="L34" s="675"/>
      <c r="M34" s="679">
        <v>1</v>
      </c>
      <c r="N34" s="656" t="e">
        <f>M8</f>
        <v>#DIV/0!</v>
      </c>
    </row>
    <row r="35" spans="1:14" ht="60" x14ac:dyDescent="0.25">
      <c r="A35" s="11" t="str">
        <f>A16</f>
        <v>SF-PY4.  Autoevalución y Acreditación de Programas Académicos de Pregrado y Postgrado.</v>
      </c>
      <c r="B35" s="288" t="e">
        <f t="shared" si="8"/>
        <v>#DIV/0!</v>
      </c>
      <c r="C35" s="288">
        <f>F16</f>
        <v>0</v>
      </c>
      <c r="D35" s="214" t="e">
        <f t="shared" si="9"/>
        <v>#DIV/0!</v>
      </c>
      <c r="J35" s="674"/>
      <c r="K35" s="675"/>
      <c r="L35" s="675"/>
      <c r="M35" s="680"/>
      <c r="N35" s="656"/>
    </row>
    <row r="36" spans="1:14" ht="30" x14ac:dyDescent="0.25">
      <c r="A36" s="11" t="str">
        <f>A21</f>
        <v>SF-PY5.  Acreditación de Alta Calidad de la Universidad</v>
      </c>
      <c r="B36" s="288" t="e">
        <f t="shared" si="8"/>
        <v>#DIV/0!</v>
      </c>
      <c r="C36" s="288">
        <f>F21</f>
        <v>0</v>
      </c>
      <c r="D36" s="214" t="e">
        <f t="shared" si="9"/>
        <v>#DIV/0!</v>
      </c>
      <c r="J36" s="674" t="str">
        <f>J10</f>
        <v>SF-PY2. Creación de nueva Oferta Académica en las Sedes.</v>
      </c>
      <c r="K36" s="675"/>
      <c r="L36" s="675"/>
      <c r="M36" s="679">
        <v>1</v>
      </c>
      <c r="N36" s="679" t="e">
        <f>M10</f>
        <v>#DIV/0!</v>
      </c>
    </row>
    <row r="37" spans="1:14" ht="30" x14ac:dyDescent="0.25">
      <c r="A37" s="11" t="str">
        <f>A23</f>
        <v>SF-PY6. Relevo Generacional con Excelencia Académica.</v>
      </c>
      <c r="B37" s="288" t="e">
        <f t="shared" si="8"/>
        <v>#DIV/0!</v>
      </c>
      <c r="C37" s="288">
        <f>F23</f>
        <v>0</v>
      </c>
      <c r="D37" s="288" t="e">
        <f t="shared" ref="D37" si="10">(B37+C37)/2</f>
        <v>#DIV/0!</v>
      </c>
      <c r="J37" s="674"/>
      <c r="K37" s="675"/>
      <c r="L37" s="675"/>
      <c r="M37" s="680"/>
      <c r="N37" s="680"/>
    </row>
    <row r="38" spans="1:14" ht="45" x14ac:dyDescent="0.25">
      <c r="A38" s="11" t="str">
        <f>A25</f>
        <v>SF-PY7. Fortalecimiento de los Vínculos Universidad - Egresados.</v>
      </c>
      <c r="B38" s="288" t="e">
        <f t="shared" si="8"/>
        <v>#DIV/0!</v>
      </c>
      <c r="C38" s="288">
        <f>F25</f>
        <v>0</v>
      </c>
      <c r="D38" s="214" t="e">
        <f>(B38+C38)/2</f>
        <v>#DIV/0!</v>
      </c>
      <c r="J38" s="674" t="str">
        <f>J12</f>
        <v>SF-PY3. Desarrollo Profesoral Permanente en lo Pedagógico, Disciplinar y Profesional.</v>
      </c>
      <c r="K38" s="675"/>
      <c r="L38" s="675"/>
      <c r="M38" s="679">
        <v>1</v>
      </c>
      <c r="N38" s="679" t="e">
        <f>M12</f>
        <v>#DIV/0!</v>
      </c>
    </row>
    <row r="39" spans="1:14" x14ac:dyDescent="0.25">
      <c r="A39" s="215" t="s">
        <v>728</v>
      </c>
      <c r="B39" s="214" t="e">
        <f>AVERAGE(B32:B38)</f>
        <v>#DIV/0!</v>
      </c>
      <c r="C39" s="214">
        <f>AVERAGE(C32:C38)</f>
        <v>0</v>
      </c>
      <c r="D39" s="214" t="e">
        <f>AVERAGE(D32:D38)</f>
        <v>#DIV/0!</v>
      </c>
      <c r="J39" s="674"/>
      <c r="K39" s="675"/>
      <c r="L39" s="675"/>
      <c r="M39" s="680"/>
      <c r="N39" s="680"/>
    </row>
    <row r="40" spans="1:14" x14ac:dyDescent="0.25">
      <c r="J40" s="674" t="str">
        <f>J14</f>
        <v>SF-PY4.  Autoevalución y Acreditación de Programas Académicos de Pregrado y Postgrado.</v>
      </c>
      <c r="K40" s="675"/>
      <c r="L40" s="675"/>
      <c r="M40" s="679">
        <v>1</v>
      </c>
      <c r="N40" s="679" t="e">
        <f>M14</f>
        <v>#DIV/0!</v>
      </c>
    </row>
    <row r="41" spans="1:14" x14ac:dyDescent="0.25">
      <c r="J41" s="674"/>
      <c r="K41" s="675"/>
      <c r="L41" s="675"/>
      <c r="M41" s="681"/>
      <c r="N41" s="681"/>
    </row>
    <row r="42" spans="1:14" x14ac:dyDescent="0.25">
      <c r="J42" s="674"/>
      <c r="K42" s="675"/>
      <c r="L42" s="675"/>
      <c r="M42" s="680"/>
      <c r="N42" s="680"/>
    </row>
    <row r="43" spans="1:14" x14ac:dyDescent="0.25">
      <c r="J43" s="674" t="str">
        <f>J17</f>
        <v>SF-PY5.  Acreditación de Alta Calidad de la Universidad</v>
      </c>
      <c r="K43" s="675"/>
      <c r="L43" s="675"/>
      <c r="M43" s="679">
        <v>0.66669999999999996</v>
      </c>
      <c r="N43" s="679" t="e">
        <f>M17</f>
        <v>#DIV/0!</v>
      </c>
    </row>
    <row r="44" spans="1:14" x14ac:dyDescent="0.25">
      <c r="J44" s="674"/>
      <c r="K44" s="675"/>
      <c r="L44" s="675"/>
      <c r="M44" s="680"/>
      <c r="N44" s="680"/>
    </row>
    <row r="45" spans="1:14" x14ac:dyDescent="0.25">
      <c r="J45" s="674" t="str">
        <f>J19</f>
        <v>SF-PY7. Fortalecimiento de los Vínculos Universidad - Egresados.</v>
      </c>
      <c r="K45" s="675"/>
      <c r="L45" s="675"/>
      <c r="M45" s="679">
        <v>1</v>
      </c>
      <c r="N45" s="679" t="e">
        <f>M19</f>
        <v>#DIV/0!</v>
      </c>
    </row>
    <row r="46" spans="1:14" x14ac:dyDescent="0.25">
      <c r="J46" s="674"/>
      <c r="K46" s="675"/>
      <c r="L46" s="675"/>
      <c r="M46" s="680"/>
      <c r="N46" s="680"/>
    </row>
    <row r="47" spans="1:14" ht="15.75" thickBot="1" x14ac:dyDescent="0.3">
      <c r="J47" s="671" t="s">
        <v>718</v>
      </c>
      <c r="K47" s="672"/>
      <c r="L47" s="672"/>
      <c r="M47" s="197">
        <f>AVERAGE(M34:M46)</f>
        <v>0.9444499999999999</v>
      </c>
      <c r="N47" s="198" t="e">
        <f>AVERAGE(N34:N46)</f>
        <v>#DIV/0!</v>
      </c>
    </row>
    <row r="66" spans="1:31" x14ac:dyDescent="0.25">
      <c r="A66" s="657" t="s">
        <v>849</v>
      </c>
      <c r="B66" s="657"/>
      <c r="C66" s="657"/>
      <c r="D66" s="657"/>
      <c r="E66" s="657"/>
      <c r="F66" s="657"/>
    </row>
    <row r="67" spans="1:31" ht="19.5" x14ac:dyDescent="0.3">
      <c r="A67" s="633" t="s">
        <v>488</v>
      </c>
      <c r="B67" s="633"/>
      <c r="C67" s="633"/>
      <c r="D67" s="633"/>
      <c r="E67" s="633"/>
      <c r="F67" s="633"/>
    </row>
    <row r="68" spans="1:31" ht="45" x14ac:dyDescent="0.25">
      <c r="A68" s="355" t="s">
        <v>489</v>
      </c>
      <c r="B68" s="342" t="s">
        <v>490</v>
      </c>
      <c r="C68" s="355" t="s">
        <v>491</v>
      </c>
      <c r="D68" s="342" t="s">
        <v>492</v>
      </c>
      <c r="E68" s="342" t="s">
        <v>493</v>
      </c>
      <c r="F68" s="342" t="s">
        <v>494</v>
      </c>
      <c r="U68" s="103"/>
      <c r="V68" s="103"/>
      <c r="W68" s="103" t="s">
        <v>710</v>
      </c>
      <c r="X68" s="103" t="s">
        <v>711</v>
      </c>
      <c r="Y68" s="103" t="s">
        <v>712</v>
      </c>
      <c r="Z68" s="103" t="s">
        <v>713</v>
      </c>
      <c r="AA68" s="103" t="s">
        <v>714</v>
      </c>
      <c r="AB68" s="103"/>
      <c r="AC68" s="190" t="s">
        <v>715</v>
      </c>
      <c r="AD68" s="190" t="s">
        <v>716</v>
      </c>
      <c r="AE68" s="103"/>
    </row>
    <row r="69" spans="1:31" x14ac:dyDescent="0.25">
      <c r="A69" s="666" t="s">
        <v>22</v>
      </c>
      <c r="B69" s="669">
        <v>0.2</v>
      </c>
      <c r="C69" s="1" t="s">
        <v>23</v>
      </c>
      <c r="D69" s="367" t="e">
        <f>#REF!</f>
        <v>#REF!</v>
      </c>
      <c r="E69" s="670" t="e">
        <f>$B$8*$AB$8</f>
        <v>#DIV/0!</v>
      </c>
      <c r="F69" s="647">
        <f>AE69</f>
        <v>0</v>
      </c>
      <c r="U69" s="104" t="e">
        <f>IF(D69&lt;25%,"Rojo",IF(D69&lt;56%,"Amarillo",IF(D69&lt;74.1%,"Verde","Azul")))</f>
        <v>#REF!</v>
      </c>
      <c r="V69" s="104" t="s">
        <v>704</v>
      </c>
      <c r="W69" s="104">
        <f>COUNTIF($U$69:$U$71,"Rojo")</f>
        <v>0</v>
      </c>
      <c r="X69" s="104">
        <f>COUNTIF($U$69:$U$71,"Amarillo")</f>
        <v>0</v>
      </c>
      <c r="Y69" s="104">
        <f>COUNTIF($U$69:$U$71,"Verde")</f>
        <v>0</v>
      </c>
      <c r="Z69" s="104">
        <f>COUNTIF($U$69:$U$71,"Azul")</f>
        <v>0</v>
      </c>
      <c r="AA69" s="104">
        <f>SUM(W69:Z69)</f>
        <v>0</v>
      </c>
      <c r="AB69" s="192" t="e">
        <f t="shared" ref="AB69:AB75" si="11">((100/AA69)*SUM(X69:Z69)/100)</f>
        <v>#DIV/0!</v>
      </c>
      <c r="AC69" s="191" t="e">
        <f>#REF!+#REF!+#REF!</f>
        <v>#REF!</v>
      </c>
      <c r="AD69" s="191" t="e">
        <f>#REF!+#REF!+#REF!</f>
        <v>#REF!</v>
      </c>
      <c r="AE69" s="193">
        <f>IFERROR(AD69/AC69,0)</f>
        <v>0</v>
      </c>
    </row>
    <row r="70" spans="1:31" x14ac:dyDescent="0.25">
      <c r="A70" s="667"/>
      <c r="B70" s="516"/>
      <c r="C70" s="1" t="s">
        <v>26</v>
      </c>
      <c r="D70" s="367" t="e">
        <f>#REF!</f>
        <v>#REF!</v>
      </c>
      <c r="E70" s="470"/>
      <c r="F70" s="470"/>
      <c r="U70" s="104" t="e">
        <f t="shared" ref="U70:U88" si="12">IF(D70&lt;25%,"Rojo",IF(D70&lt;56%,"Amarillo",IF(D70&lt;74.1%,"Verde","Azul")))</f>
        <v>#REF!</v>
      </c>
      <c r="V70" s="104" t="s">
        <v>705</v>
      </c>
      <c r="W70" s="104">
        <f>COUNTIF($U$72,"Rojo")</f>
        <v>0</v>
      </c>
      <c r="X70" s="104">
        <f>COUNTIF($U$72,"Amarillo")</f>
        <v>0</v>
      </c>
      <c r="Y70" s="104">
        <f>COUNTIF($U$72,"Verde")</f>
        <v>0</v>
      </c>
      <c r="Z70" s="104">
        <f>COUNTIF($U$72,"Azul")</f>
        <v>0</v>
      </c>
      <c r="AA70" s="104">
        <f t="shared" ref="AA70:AA72" si="13">SUM(W70:Z70)</f>
        <v>0</v>
      </c>
      <c r="AB70" s="192" t="e">
        <f t="shared" si="11"/>
        <v>#DIV/0!</v>
      </c>
      <c r="AC70" s="191" t="e">
        <f>#REF!</f>
        <v>#REF!</v>
      </c>
      <c r="AD70" s="191" t="e">
        <f>#REF!</f>
        <v>#REF!</v>
      </c>
      <c r="AE70" s="193">
        <f t="shared" ref="AE70:AE75" si="14">IFERROR(AD70/AC70,0)</f>
        <v>0</v>
      </c>
    </row>
    <row r="71" spans="1:31" x14ac:dyDescent="0.25">
      <c r="A71" s="668"/>
      <c r="B71" s="517"/>
      <c r="C71" s="1" t="s">
        <v>29</v>
      </c>
      <c r="D71" s="367" t="e">
        <f>#REF!</f>
        <v>#REF!</v>
      </c>
      <c r="E71" s="470"/>
      <c r="F71" s="470"/>
      <c r="U71" s="104" t="e">
        <f t="shared" si="12"/>
        <v>#REF!</v>
      </c>
      <c r="V71" s="104" t="s">
        <v>706</v>
      </c>
      <c r="W71" s="104">
        <f>COUNTIF($U$73:$U$76,"Rojo")</f>
        <v>0</v>
      </c>
      <c r="X71" s="104">
        <f>COUNTIF($U$73:$U$76,"Amarillo")</f>
        <v>0</v>
      </c>
      <c r="Y71" s="104">
        <f>COUNTIF($U$73:$U$76,"Verde")</f>
        <v>0</v>
      </c>
      <c r="Z71" s="104">
        <f>COUNTIF($U$73:$U$76,"Azul")</f>
        <v>0</v>
      </c>
      <c r="AA71" s="104">
        <f t="shared" si="13"/>
        <v>0</v>
      </c>
      <c r="AB71" s="192" t="e">
        <f t="shared" si="11"/>
        <v>#DIV/0!</v>
      </c>
      <c r="AC71" s="191" t="e">
        <f>#REF!+#REF!+#REF!+#REF!</f>
        <v>#REF!</v>
      </c>
      <c r="AD71" s="191" t="e">
        <f>#REF!+#REF!+#REF!+#REF!</f>
        <v>#REF!</v>
      </c>
      <c r="AE71" s="193">
        <f t="shared" si="14"/>
        <v>0</v>
      </c>
    </row>
    <row r="72" spans="1:31" ht="45" x14ac:dyDescent="0.25">
      <c r="A72" s="352" t="s">
        <v>32</v>
      </c>
      <c r="B72" s="105">
        <v>0.05</v>
      </c>
      <c r="C72" s="1" t="s">
        <v>33</v>
      </c>
      <c r="D72" s="367" t="e">
        <f>#REF!</f>
        <v>#REF!</v>
      </c>
      <c r="E72" s="353" t="e">
        <f>$B$11*$AB$9</f>
        <v>#DIV/0!</v>
      </c>
      <c r="F72" s="347">
        <f>AE70</f>
        <v>0</v>
      </c>
      <c r="U72" s="104" t="e">
        <f t="shared" si="12"/>
        <v>#REF!</v>
      </c>
      <c r="V72" s="104" t="s">
        <v>707</v>
      </c>
      <c r="W72" s="104">
        <f>COUNTIF($U$77:$U$81,"Rojo")</f>
        <v>0</v>
      </c>
      <c r="X72" s="104">
        <f>COUNTIF($U$77:$U$81,"Amarillo")</f>
        <v>0</v>
      </c>
      <c r="Y72" s="104">
        <f>COUNTIF($U$77:$U$81,"Verde")</f>
        <v>0</v>
      </c>
      <c r="Z72" s="104">
        <f>COUNTIF($U$77:$U$81,"Azul")</f>
        <v>0</v>
      </c>
      <c r="AA72" s="104">
        <f t="shared" si="13"/>
        <v>0</v>
      </c>
      <c r="AB72" s="192" t="e">
        <f t="shared" si="11"/>
        <v>#DIV/0!</v>
      </c>
      <c r="AC72" s="191" t="e">
        <f>#REF!+#REF!+#REF!+#REF!+#REF!</f>
        <v>#REF!</v>
      </c>
      <c r="AD72" s="191" t="e">
        <f>#REF!+#REF!+#REF!+#REF!+#REF!</f>
        <v>#REF!</v>
      </c>
      <c r="AE72" s="193">
        <f t="shared" si="14"/>
        <v>0</v>
      </c>
    </row>
    <row r="73" spans="1:31" x14ac:dyDescent="0.25">
      <c r="A73" s="666" t="s">
        <v>36</v>
      </c>
      <c r="B73" s="669">
        <v>0.25</v>
      </c>
      <c r="C73" s="10" t="s">
        <v>37</v>
      </c>
      <c r="D73" s="367" t="e">
        <f>#REF!</f>
        <v>#REF!</v>
      </c>
      <c r="E73" s="470" t="e">
        <f>$B$12*$AB$10</f>
        <v>#DIV/0!</v>
      </c>
      <c r="F73" s="647">
        <f>AE71</f>
        <v>0</v>
      </c>
      <c r="U73" s="104" t="e">
        <f t="shared" si="12"/>
        <v>#REF!</v>
      </c>
      <c r="V73" s="104" t="s">
        <v>708</v>
      </c>
      <c r="W73" s="104">
        <f>COUNTIF($U$82:$U$83,"Rojo")</f>
        <v>0</v>
      </c>
      <c r="X73" s="104">
        <f>COUNTIF($U$82:$U$83,"Amarillo")</f>
        <v>0</v>
      </c>
      <c r="Y73" s="104">
        <f>COUNTIF($U$82:$U$83,"Verde")</f>
        <v>0</v>
      </c>
      <c r="Z73" s="104">
        <f>COUNTIF($U$82:$U$83,"Azul")</f>
        <v>0</v>
      </c>
      <c r="AA73" s="104">
        <f t="shared" ref="AA73" si="15">SUM(W73:Z73)</f>
        <v>0</v>
      </c>
      <c r="AB73" s="192" t="e">
        <f t="shared" si="11"/>
        <v>#DIV/0!</v>
      </c>
      <c r="AC73" s="191" t="e">
        <f>#REF!+#REF!</f>
        <v>#REF!</v>
      </c>
      <c r="AD73" s="191" t="e">
        <f>#REF!+#REF!</f>
        <v>#REF!</v>
      </c>
      <c r="AE73" s="193">
        <f t="shared" si="14"/>
        <v>0</v>
      </c>
    </row>
    <row r="74" spans="1:31" x14ac:dyDescent="0.25">
      <c r="A74" s="667"/>
      <c r="B74" s="516"/>
      <c r="C74" s="1" t="s">
        <v>40</v>
      </c>
      <c r="D74" s="367" t="e">
        <f>#REF!</f>
        <v>#REF!</v>
      </c>
      <c r="E74" s="470"/>
      <c r="F74" s="470"/>
      <c r="U74" s="104" t="e">
        <f t="shared" si="12"/>
        <v>#REF!</v>
      </c>
      <c r="V74" s="104" t="s">
        <v>717</v>
      </c>
      <c r="W74" s="104">
        <f>COUNTIF($U$84:$U$85,"Rojo")</f>
        <v>0</v>
      </c>
      <c r="X74" s="104">
        <f>COUNTIF($U$84:$U$85,"Amarillo")</f>
        <v>0</v>
      </c>
      <c r="Y74" s="104">
        <f>COUNTIF($U$84:$U$85,"Verde")</f>
        <v>0</v>
      </c>
      <c r="Z74" s="104">
        <f>COUNTIF($U$84:$U$85,"Azul")</f>
        <v>0</v>
      </c>
      <c r="AA74" s="104">
        <f t="shared" ref="AA74" si="16">SUM(W74:Z74)</f>
        <v>0</v>
      </c>
      <c r="AB74" s="192" t="e">
        <f t="shared" si="11"/>
        <v>#DIV/0!</v>
      </c>
      <c r="AC74" s="191" t="e">
        <f>#REF!+#REF!</f>
        <v>#REF!</v>
      </c>
      <c r="AD74" s="191" t="e">
        <f>#REF!+#REF!</f>
        <v>#REF!</v>
      </c>
      <c r="AE74" s="193">
        <f t="shared" si="14"/>
        <v>0</v>
      </c>
    </row>
    <row r="75" spans="1:31" x14ac:dyDescent="0.25">
      <c r="A75" s="667"/>
      <c r="B75" s="516"/>
      <c r="C75" s="1" t="s">
        <v>43</v>
      </c>
      <c r="D75" s="367" t="e">
        <f>#REF!</f>
        <v>#REF!</v>
      </c>
      <c r="E75" s="470"/>
      <c r="F75" s="470"/>
      <c r="U75" s="104" t="e">
        <f t="shared" si="12"/>
        <v>#REF!</v>
      </c>
      <c r="V75" s="104" t="s">
        <v>709</v>
      </c>
      <c r="W75" s="104">
        <f>COUNTIF($U$86:$U$88,"Rojo")</f>
        <v>0</v>
      </c>
      <c r="X75" s="104">
        <f>COUNTIF($U$86:$U$88,"Amarillo")</f>
        <v>0</v>
      </c>
      <c r="Y75" s="104">
        <f>COUNTIF($U$86:$U$88,"Verde")</f>
        <v>0</v>
      </c>
      <c r="Z75" s="104">
        <f>COUNTIF($U$86:$U$88,"Azul")</f>
        <v>0</v>
      </c>
      <c r="AA75" s="104">
        <f t="shared" ref="AA75" si="17">SUM(W75:Z75)</f>
        <v>0</v>
      </c>
      <c r="AB75" s="192" t="e">
        <f t="shared" si="11"/>
        <v>#DIV/0!</v>
      </c>
      <c r="AC75" s="191" t="e">
        <f>#REF!+#REF!+#REF!</f>
        <v>#REF!</v>
      </c>
      <c r="AD75" s="191" t="e">
        <f>#REF!+#REF!+#REF!</f>
        <v>#REF!</v>
      </c>
      <c r="AE75" s="193">
        <f t="shared" si="14"/>
        <v>0</v>
      </c>
    </row>
    <row r="76" spans="1:31" x14ac:dyDescent="0.25">
      <c r="A76" s="668"/>
      <c r="B76" s="517"/>
      <c r="C76" s="1" t="s">
        <v>45</v>
      </c>
      <c r="D76" s="367" t="e">
        <f>#REF!</f>
        <v>#REF!</v>
      </c>
      <c r="E76" s="470"/>
      <c r="F76" s="470"/>
      <c r="U76" s="104" t="e">
        <f t="shared" si="12"/>
        <v>#REF!</v>
      </c>
      <c r="V76" s="104"/>
      <c r="W76" s="104"/>
      <c r="X76" s="104"/>
      <c r="Y76" s="104"/>
      <c r="Z76" s="104"/>
      <c r="AA76" s="104"/>
      <c r="AB76" s="104"/>
      <c r="AC76" s="104"/>
      <c r="AD76" s="104"/>
      <c r="AE76" s="104"/>
    </row>
    <row r="77" spans="1:31" x14ac:dyDescent="0.25">
      <c r="A77" s="666" t="s">
        <v>50</v>
      </c>
      <c r="B77" s="669">
        <v>0.2</v>
      </c>
      <c r="C77" s="10" t="s">
        <v>51</v>
      </c>
      <c r="D77" s="367" t="e">
        <f>#REF!</f>
        <v>#REF!</v>
      </c>
      <c r="E77" s="470" t="e">
        <f>$B$16*$AB$11</f>
        <v>#DIV/0!</v>
      </c>
      <c r="F77" s="647">
        <f>AE72</f>
        <v>0</v>
      </c>
      <c r="U77" s="104" t="e">
        <f t="shared" si="12"/>
        <v>#REF!</v>
      </c>
      <c r="V77" s="104"/>
      <c r="W77" s="104"/>
      <c r="X77" s="104"/>
      <c r="Y77" s="104"/>
      <c r="Z77" s="104"/>
      <c r="AA77" s="104"/>
      <c r="AB77" s="104"/>
      <c r="AC77" s="104"/>
      <c r="AD77" s="104"/>
      <c r="AE77" s="104"/>
    </row>
    <row r="78" spans="1:31" x14ac:dyDescent="0.25">
      <c r="A78" s="667"/>
      <c r="B78" s="516"/>
      <c r="C78" s="1" t="s">
        <v>55</v>
      </c>
      <c r="D78" s="367" t="e">
        <f>#REF!</f>
        <v>#REF!</v>
      </c>
      <c r="E78" s="470"/>
      <c r="F78" s="470"/>
      <c r="U78" s="104" t="e">
        <f t="shared" si="12"/>
        <v>#REF!</v>
      </c>
      <c r="V78" s="104"/>
      <c r="W78" s="104"/>
      <c r="X78" s="104"/>
      <c r="Y78" s="104"/>
      <c r="Z78" s="104"/>
      <c r="AA78" s="104"/>
      <c r="AB78" s="104"/>
      <c r="AC78" s="104"/>
      <c r="AD78" s="104"/>
      <c r="AE78" s="104"/>
    </row>
    <row r="79" spans="1:31" x14ac:dyDescent="0.25">
      <c r="A79" s="667"/>
      <c r="B79" s="516"/>
      <c r="C79" s="1" t="s">
        <v>58</v>
      </c>
      <c r="D79" s="367" t="e">
        <f>#REF!</f>
        <v>#REF!</v>
      </c>
      <c r="E79" s="470"/>
      <c r="F79" s="470"/>
      <c r="U79" s="104" t="e">
        <f t="shared" si="12"/>
        <v>#REF!</v>
      </c>
      <c r="V79" s="104"/>
      <c r="W79" s="104"/>
      <c r="X79" s="104"/>
      <c r="Y79" s="104"/>
      <c r="Z79" s="104"/>
      <c r="AA79" s="104"/>
      <c r="AB79" s="104"/>
      <c r="AC79" s="104"/>
      <c r="AD79" s="104"/>
      <c r="AE79" s="104"/>
    </row>
    <row r="80" spans="1:31" x14ac:dyDescent="0.25">
      <c r="A80" s="667"/>
      <c r="B80" s="516"/>
      <c r="C80" s="1" t="s">
        <v>60</v>
      </c>
      <c r="D80" s="367" t="e">
        <f>#REF!</f>
        <v>#REF!</v>
      </c>
      <c r="E80" s="470"/>
      <c r="F80" s="470"/>
      <c r="U80" s="104" t="e">
        <f t="shared" si="12"/>
        <v>#REF!</v>
      </c>
      <c r="V80" s="104"/>
      <c r="W80" s="104"/>
      <c r="X80" s="104"/>
      <c r="Y80" s="104"/>
      <c r="Z80" s="104"/>
      <c r="AA80" s="104"/>
      <c r="AB80" s="104"/>
      <c r="AC80" s="104"/>
      <c r="AD80" s="104"/>
      <c r="AE80" s="104"/>
    </row>
    <row r="81" spans="1:31" x14ac:dyDescent="0.25">
      <c r="A81" s="668"/>
      <c r="B81" s="517"/>
      <c r="C81" s="1" t="s">
        <v>63</v>
      </c>
      <c r="D81" s="367" t="e">
        <f>#REF!</f>
        <v>#REF!</v>
      </c>
      <c r="E81" s="470"/>
      <c r="F81" s="470"/>
      <c r="U81" s="104" t="e">
        <f t="shared" si="12"/>
        <v>#REF!</v>
      </c>
      <c r="V81" s="104"/>
      <c r="W81" s="104"/>
      <c r="X81" s="104"/>
      <c r="Y81" s="104"/>
      <c r="Z81" s="104"/>
      <c r="AA81" s="104"/>
      <c r="AB81" s="104"/>
      <c r="AC81" s="104"/>
      <c r="AD81" s="104"/>
      <c r="AE81" s="104"/>
    </row>
    <row r="82" spans="1:31" x14ac:dyDescent="0.25">
      <c r="A82" s="673" t="s">
        <v>65</v>
      </c>
      <c r="B82" s="669">
        <v>0.2</v>
      </c>
      <c r="C82" s="10" t="s">
        <v>66</v>
      </c>
      <c r="D82" s="367" t="e">
        <f>#REF!</f>
        <v>#REF!</v>
      </c>
      <c r="E82" s="470" t="e">
        <f>$B$21*$AB$12</f>
        <v>#DIV/0!</v>
      </c>
      <c r="F82" s="647">
        <f>AE73</f>
        <v>0</v>
      </c>
      <c r="U82" s="104" t="e">
        <f t="shared" si="12"/>
        <v>#REF!</v>
      </c>
      <c r="V82" s="104"/>
      <c r="W82" s="104"/>
      <c r="X82" s="104"/>
      <c r="Y82" s="104"/>
      <c r="Z82" s="104"/>
      <c r="AA82" s="104"/>
      <c r="AB82" s="104"/>
      <c r="AC82" s="104"/>
      <c r="AD82" s="104"/>
      <c r="AE82" s="104"/>
    </row>
    <row r="83" spans="1:31" x14ac:dyDescent="0.25">
      <c r="A83" s="673"/>
      <c r="B83" s="517"/>
      <c r="C83" s="10" t="s">
        <v>68</v>
      </c>
      <c r="D83" s="367" t="e">
        <f>#REF!</f>
        <v>#REF!</v>
      </c>
      <c r="E83" s="470"/>
      <c r="F83" s="470"/>
      <c r="U83" s="104" t="e">
        <f t="shared" si="12"/>
        <v>#REF!</v>
      </c>
      <c r="V83" s="104"/>
      <c r="W83" s="104"/>
      <c r="X83" s="104"/>
      <c r="Y83" s="104"/>
      <c r="Z83" s="104"/>
      <c r="AA83" s="104"/>
      <c r="AB83" s="104"/>
      <c r="AC83" s="104"/>
      <c r="AD83" s="104"/>
      <c r="AE83" s="104"/>
    </row>
    <row r="84" spans="1:31" x14ac:dyDescent="0.25">
      <c r="A84" s="673" t="s">
        <v>73</v>
      </c>
      <c r="B84" s="669">
        <v>0.05</v>
      </c>
      <c r="C84" s="10" t="s">
        <v>74</v>
      </c>
      <c r="D84" s="367" t="e">
        <f>#REF!</f>
        <v>#REF!</v>
      </c>
      <c r="E84" s="670" t="e">
        <f>$B$23*$AB$13</f>
        <v>#DIV/0!</v>
      </c>
      <c r="F84" s="647">
        <f>AE74</f>
        <v>0</v>
      </c>
      <c r="U84" s="104" t="e">
        <f t="shared" si="12"/>
        <v>#REF!</v>
      </c>
      <c r="V84" s="104"/>
      <c r="W84" s="104"/>
      <c r="X84" s="104"/>
      <c r="Y84" s="104"/>
      <c r="Z84" s="104"/>
      <c r="AA84" s="104"/>
      <c r="AB84" s="104"/>
      <c r="AC84" s="104"/>
      <c r="AD84" s="104"/>
      <c r="AE84" s="104"/>
    </row>
    <row r="85" spans="1:31" x14ac:dyDescent="0.25">
      <c r="A85" s="673"/>
      <c r="B85" s="517"/>
      <c r="C85" s="10" t="s">
        <v>74</v>
      </c>
      <c r="D85" s="367" t="e">
        <f>#REF!</f>
        <v>#REF!</v>
      </c>
      <c r="E85" s="470"/>
      <c r="F85" s="470"/>
      <c r="U85" s="104" t="e">
        <f t="shared" si="12"/>
        <v>#REF!</v>
      </c>
      <c r="V85" s="104"/>
      <c r="W85" s="104"/>
      <c r="X85" s="104"/>
      <c r="Y85" s="104"/>
      <c r="Z85" s="104"/>
      <c r="AA85" s="104"/>
      <c r="AB85" s="104"/>
      <c r="AC85" s="104"/>
      <c r="AD85" s="104"/>
      <c r="AE85" s="104"/>
    </row>
    <row r="86" spans="1:31" x14ac:dyDescent="0.25">
      <c r="A86" s="673" t="s">
        <v>76</v>
      </c>
      <c r="B86" s="669">
        <v>0.05</v>
      </c>
      <c r="C86" s="1" t="s">
        <v>77</v>
      </c>
      <c r="D86" s="367" t="e">
        <f>#REF!</f>
        <v>#REF!</v>
      </c>
      <c r="E86" s="470" t="e">
        <f>$B$25*$AB$13</f>
        <v>#DIV/0!</v>
      </c>
      <c r="F86" s="647">
        <f>AE75</f>
        <v>0</v>
      </c>
      <c r="U86" s="104" t="e">
        <f t="shared" si="12"/>
        <v>#REF!</v>
      </c>
      <c r="V86" s="104"/>
      <c r="W86" s="104"/>
      <c r="X86" s="104"/>
      <c r="Y86" s="104"/>
      <c r="Z86" s="104"/>
      <c r="AA86" s="104"/>
      <c r="AB86" s="104"/>
      <c r="AC86" s="104"/>
      <c r="AD86" s="104"/>
      <c r="AE86" s="104"/>
    </row>
    <row r="87" spans="1:31" x14ac:dyDescent="0.25">
      <c r="A87" s="673"/>
      <c r="B87" s="516"/>
      <c r="C87" s="1" t="s">
        <v>79</v>
      </c>
      <c r="D87" s="367" t="e">
        <f>#REF!</f>
        <v>#REF!</v>
      </c>
      <c r="E87" s="470"/>
      <c r="F87" s="470"/>
      <c r="U87" s="104" t="e">
        <f t="shared" si="12"/>
        <v>#REF!</v>
      </c>
      <c r="V87" s="104"/>
      <c r="W87" s="104"/>
      <c r="X87" s="104"/>
      <c r="Y87" s="104"/>
      <c r="Z87" s="104"/>
      <c r="AA87" s="104"/>
      <c r="AB87" s="104"/>
      <c r="AC87" s="104"/>
      <c r="AD87" s="104"/>
      <c r="AE87" s="104"/>
    </row>
    <row r="88" spans="1:31" x14ac:dyDescent="0.25">
      <c r="A88" s="673"/>
      <c r="B88" s="517"/>
      <c r="C88" s="1" t="s">
        <v>82</v>
      </c>
      <c r="D88" s="367" t="e">
        <f>#REF!</f>
        <v>#REF!</v>
      </c>
      <c r="E88" s="470"/>
      <c r="F88" s="470"/>
      <c r="U88" s="104" t="e">
        <f t="shared" si="12"/>
        <v>#REF!</v>
      </c>
      <c r="V88" s="104"/>
      <c r="W88" s="104"/>
      <c r="X88" s="104"/>
      <c r="Y88" s="104"/>
      <c r="Z88" s="104"/>
      <c r="AA88" s="104"/>
      <c r="AB88" s="104"/>
      <c r="AC88" s="104"/>
      <c r="AD88" s="104"/>
      <c r="AE88" s="104"/>
    </row>
    <row r="89" spans="1:31" x14ac:dyDescent="0.25">
      <c r="A89" s="676" t="s">
        <v>495</v>
      </c>
      <c r="B89" s="677"/>
      <c r="C89" s="678"/>
      <c r="D89" s="308"/>
      <c r="E89" s="195" t="e">
        <f>AVERAGE(E69:E88)</f>
        <v>#DIV/0!</v>
      </c>
      <c r="F89" s="195">
        <f>AVERAGE(F69:F88)</f>
        <v>0</v>
      </c>
    </row>
    <row r="90" spans="1:31" x14ac:dyDescent="0.25">
      <c r="A90" s="106"/>
      <c r="B90" s="107"/>
      <c r="C90" s="108"/>
      <c r="D90" s="109"/>
    </row>
    <row r="91" spans="1:31" x14ac:dyDescent="0.25">
      <c r="A91" s="106"/>
      <c r="B91" s="107"/>
      <c r="C91" s="108"/>
      <c r="D91" s="110"/>
    </row>
    <row r="92" spans="1:31" x14ac:dyDescent="0.25">
      <c r="A92" s="342" t="s">
        <v>489</v>
      </c>
      <c r="B92" s="342" t="s">
        <v>729</v>
      </c>
      <c r="C92" s="342" t="s">
        <v>730</v>
      </c>
      <c r="D92" s="342" t="s">
        <v>7</v>
      </c>
    </row>
    <row r="93" spans="1:31" ht="30" x14ac:dyDescent="0.25">
      <c r="A93" s="11" t="str">
        <f>A69</f>
        <v>SF-PY1. Identidad con la Teleología Institucional.</v>
      </c>
      <c r="B93" s="367" t="e">
        <f>AB69</f>
        <v>#DIV/0!</v>
      </c>
      <c r="C93" s="367">
        <f>F69</f>
        <v>0</v>
      </c>
      <c r="D93" s="367" t="e">
        <f>(B93+C93)/2</f>
        <v>#DIV/0!</v>
      </c>
    </row>
    <row r="94" spans="1:31" ht="45" x14ac:dyDescent="0.25">
      <c r="A94" s="11" t="str">
        <f>A72</f>
        <v>SF-PY2. Creación de nueva Oferta Académica en las Sedes.</v>
      </c>
      <c r="B94" s="367" t="e">
        <f t="shared" ref="B94:B99" si="18">AB70</f>
        <v>#DIV/0!</v>
      </c>
      <c r="C94" s="367">
        <f>F72</f>
        <v>0</v>
      </c>
      <c r="D94" s="367" t="e">
        <f t="shared" ref="D94:D98" si="19">(B94+C94)/2</f>
        <v>#DIV/0!</v>
      </c>
    </row>
    <row r="95" spans="1:31" ht="45" x14ac:dyDescent="0.25">
      <c r="A95" s="11" t="str">
        <f>A73</f>
        <v>SF-PY3. Desarrollo Profesoral Permanente en lo Pedagógico, Disciplinar y Profesional.</v>
      </c>
      <c r="B95" s="367" t="e">
        <f t="shared" si="18"/>
        <v>#DIV/0!</v>
      </c>
      <c r="C95" s="367">
        <f>F73</f>
        <v>0</v>
      </c>
      <c r="D95" s="367" t="e">
        <f t="shared" si="19"/>
        <v>#DIV/0!</v>
      </c>
    </row>
    <row r="96" spans="1:31" ht="60" x14ac:dyDescent="0.25">
      <c r="A96" s="11" t="str">
        <f>A77</f>
        <v>SF-PY4.  Autoevalución y Acreditación de Programas Académicos de Pregrado y Postgrado.</v>
      </c>
      <c r="B96" s="367" t="e">
        <f t="shared" si="18"/>
        <v>#DIV/0!</v>
      </c>
      <c r="C96" s="367">
        <f>F77</f>
        <v>0</v>
      </c>
      <c r="D96" s="367" t="e">
        <f t="shared" si="19"/>
        <v>#DIV/0!</v>
      </c>
    </row>
    <row r="97" spans="1:4" ht="30" x14ac:dyDescent="0.25">
      <c r="A97" s="11" t="str">
        <f>A82</f>
        <v>SF-PY5.  Acreditación de Alta Calidad de la Universidad</v>
      </c>
      <c r="B97" s="367" t="e">
        <f t="shared" si="18"/>
        <v>#DIV/0!</v>
      </c>
      <c r="C97" s="367">
        <f>F82</f>
        <v>0</v>
      </c>
      <c r="D97" s="367" t="e">
        <f t="shared" si="19"/>
        <v>#DIV/0!</v>
      </c>
    </row>
    <row r="98" spans="1:4" ht="30" x14ac:dyDescent="0.25">
      <c r="A98" s="11" t="str">
        <f>A84</f>
        <v>SF-PY6. Relevo Generacional con Excelencia Académica.</v>
      </c>
      <c r="B98" s="367" t="e">
        <f t="shared" si="18"/>
        <v>#DIV/0!</v>
      </c>
      <c r="C98" s="367">
        <f>F84</f>
        <v>0</v>
      </c>
      <c r="D98" s="367" t="e">
        <f t="shared" si="19"/>
        <v>#DIV/0!</v>
      </c>
    </row>
    <row r="99" spans="1:4" ht="45" x14ac:dyDescent="0.25">
      <c r="A99" s="11" t="str">
        <f>A86</f>
        <v>SF-PY7. Fortalecimiento de los Vínculos Universidad - Egresados.</v>
      </c>
      <c r="B99" s="367" t="e">
        <f t="shared" si="18"/>
        <v>#DIV/0!</v>
      </c>
      <c r="C99" s="367">
        <f>F86</f>
        <v>0</v>
      </c>
      <c r="D99" s="367" t="e">
        <f>(B99+C99)/2</f>
        <v>#DIV/0!</v>
      </c>
    </row>
    <row r="100" spans="1:4" x14ac:dyDescent="0.25">
      <c r="A100" s="341" t="s">
        <v>728</v>
      </c>
      <c r="B100" s="367" t="e">
        <f>AVERAGE(B93:B99)</f>
        <v>#DIV/0!</v>
      </c>
      <c r="C100" s="367">
        <f>AVERAGE(C93:C99)</f>
        <v>0</v>
      </c>
      <c r="D100" s="367" t="e">
        <f>AVERAGE(D93:D99)</f>
        <v>#DIV/0!</v>
      </c>
    </row>
  </sheetData>
  <mergeCells count="100">
    <mergeCell ref="A86:A88"/>
    <mergeCell ref="B86:B88"/>
    <mergeCell ref="E86:E88"/>
    <mergeCell ref="F86:F88"/>
    <mergeCell ref="A89:C89"/>
    <mergeCell ref="A82:A83"/>
    <mergeCell ref="B82:B83"/>
    <mergeCell ref="E82:E83"/>
    <mergeCell ref="F82:F83"/>
    <mergeCell ref="A84:A85"/>
    <mergeCell ref="B84:B85"/>
    <mergeCell ref="E84:E85"/>
    <mergeCell ref="F84:F85"/>
    <mergeCell ref="A73:A76"/>
    <mergeCell ref="B73:B76"/>
    <mergeCell ref="E73:E76"/>
    <mergeCell ref="F73:F76"/>
    <mergeCell ref="A77:A81"/>
    <mergeCell ref="B77:B81"/>
    <mergeCell ref="E77:E81"/>
    <mergeCell ref="F77:F81"/>
    <mergeCell ref="A5:F5"/>
    <mergeCell ref="A66:F66"/>
    <mergeCell ref="A67:F67"/>
    <mergeCell ref="A69:A71"/>
    <mergeCell ref="B69:B71"/>
    <mergeCell ref="E69:E71"/>
    <mergeCell ref="F69:F71"/>
    <mergeCell ref="F23:F24"/>
    <mergeCell ref="A23:A24"/>
    <mergeCell ref="B23:B24"/>
    <mergeCell ref="E23:E24"/>
    <mergeCell ref="A16:A20"/>
    <mergeCell ref="B16:B20"/>
    <mergeCell ref="E16:E20"/>
    <mergeCell ref="F16:F20"/>
    <mergeCell ref="A21:A22"/>
    <mergeCell ref="J14:L16"/>
    <mergeCell ref="J17:L18"/>
    <mergeCell ref="M38:M39"/>
    <mergeCell ref="M14:M16"/>
    <mergeCell ref="N14:N16"/>
    <mergeCell ref="M17:M18"/>
    <mergeCell ref="N17:N18"/>
    <mergeCell ref="J21:L21"/>
    <mergeCell ref="M19:M20"/>
    <mergeCell ref="N19:N20"/>
    <mergeCell ref="J19:L20"/>
    <mergeCell ref="J30:N30"/>
    <mergeCell ref="M12:M13"/>
    <mergeCell ref="N12:N13"/>
    <mergeCell ref="J3:N3"/>
    <mergeCell ref="J4:N4"/>
    <mergeCell ref="J5:N5"/>
    <mergeCell ref="N10:N11"/>
    <mergeCell ref="M10:M11"/>
    <mergeCell ref="J6:L7"/>
    <mergeCell ref="M8:M9"/>
    <mergeCell ref="N8:N9"/>
    <mergeCell ref="J8:L9"/>
    <mergeCell ref="J10:L11"/>
    <mergeCell ref="J12:L13"/>
    <mergeCell ref="M40:M42"/>
    <mergeCell ref="N40:N42"/>
    <mergeCell ref="J31:N31"/>
    <mergeCell ref="J32:N32"/>
    <mergeCell ref="J34:L35"/>
    <mergeCell ref="M34:M35"/>
    <mergeCell ref="N34:N35"/>
    <mergeCell ref="J33:L33"/>
    <mergeCell ref="M36:M37"/>
    <mergeCell ref="N36:N37"/>
    <mergeCell ref="J38:L39"/>
    <mergeCell ref="N38:N39"/>
    <mergeCell ref="M43:M44"/>
    <mergeCell ref="N43:N44"/>
    <mergeCell ref="J45:L46"/>
    <mergeCell ref="M45:M46"/>
    <mergeCell ref="N45:N46"/>
    <mergeCell ref="J47:L47"/>
    <mergeCell ref="A25:A27"/>
    <mergeCell ref="B25:B27"/>
    <mergeCell ref="E25:E27"/>
    <mergeCell ref="F25:F27"/>
    <mergeCell ref="J43:L44"/>
    <mergeCell ref="J36:L37"/>
    <mergeCell ref="J40:L42"/>
    <mergeCell ref="A28:C28"/>
    <mergeCell ref="B21:B22"/>
    <mergeCell ref="E21:E22"/>
    <mergeCell ref="F21:F22"/>
    <mergeCell ref="A12:A15"/>
    <mergeCell ref="B12:B15"/>
    <mergeCell ref="E12:E15"/>
    <mergeCell ref="F12:F15"/>
    <mergeCell ref="A6:F6"/>
    <mergeCell ref="A8:A10"/>
    <mergeCell ref="B8:B10"/>
    <mergeCell ref="E8:E10"/>
    <mergeCell ref="F8:F10"/>
  </mergeCells>
  <conditionalFormatting sqref="N8">
    <cfRule type="cellIs" dxfId="147" priority="325" operator="greaterThan">
      <formula>50%</formula>
    </cfRule>
    <cfRule type="cellIs" dxfId="146" priority="326" operator="between">
      <formula>37%</formula>
      <formula>50%</formula>
    </cfRule>
    <cfRule type="cellIs" dxfId="145" priority="327" operator="between">
      <formula>16%</formula>
      <formula>37%</formula>
    </cfRule>
    <cfRule type="cellIs" dxfId="144" priority="328" operator="lessThan">
      <formula>16%</formula>
    </cfRule>
  </conditionalFormatting>
  <conditionalFormatting sqref="N10">
    <cfRule type="cellIs" dxfId="143" priority="221" operator="greaterThan">
      <formula>50%</formula>
    </cfRule>
    <cfRule type="cellIs" dxfId="142" priority="222" operator="between">
      <formula>37%</formula>
      <formula>50%</formula>
    </cfRule>
    <cfRule type="cellIs" dxfId="141" priority="223" operator="between">
      <formula>16%</formula>
      <formula>37%</formula>
    </cfRule>
    <cfRule type="cellIs" dxfId="140" priority="224" operator="lessThan">
      <formula>16%</formula>
    </cfRule>
  </conditionalFormatting>
  <conditionalFormatting sqref="N12">
    <cfRule type="cellIs" dxfId="139" priority="217" operator="greaterThan">
      <formula>50%</formula>
    </cfRule>
    <cfRule type="cellIs" dxfId="138" priority="218" operator="between">
      <formula>37%</formula>
      <formula>50%</formula>
    </cfRule>
    <cfRule type="cellIs" dxfId="137" priority="219" operator="between">
      <formula>16%</formula>
      <formula>37%</formula>
    </cfRule>
    <cfRule type="cellIs" dxfId="136" priority="220" operator="lessThan">
      <formula>16%</formula>
    </cfRule>
  </conditionalFormatting>
  <conditionalFormatting sqref="N14">
    <cfRule type="cellIs" dxfId="135" priority="213" operator="greaterThan">
      <formula>50%</formula>
    </cfRule>
    <cfRule type="cellIs" dxfId="134" priority="214" operator="between">
      <formula>37%</formula>
      <formula>50%</formula>
    </cfRule>
    <cfRule type="cellIs" dxfId="133" priority="215" operator="between">
      <formula>16%</formula>
      <formula>37%</formula>
    </cfRule>
    <cfRule type="cellIs" dxfId="132" priority="216" operator="lessThan">
      <formula>16%</formula>
    </cfRule>
  </conditionalFormatting>
  <conditionalFormatting sqref="N17">
    <cfRule type="cellIs" dxfId="131" priority="209" operator="greaterThan">
      <formula>50%</formula>
    </cfRule>
    <cfRule type="cellIs" dxfId="130" priority="210" operator="between">
      <formula>37%</formula>
      <formula>50%</formula>
    </cfRule>
    <cfRule type="cellIs" dxfId="129" priority="211" operator="between">
      <formula>16%</formula>
      <formula>37%</formula>
    </cfRule>
    <cfRule type="cellIs" dxfId="128" priority="212" operator="lessThan">
      <formula>16%</formula>
    </cfRule>
  </conditionalFormatting>
  <conditionalFormatting sqref="N19">
    <cfRule type="cellIs" dxfId="127" priority="205" operator="greaterThan">
      <formula>50%</formula>
    </cfRule>
    <cfRule type="cellIs" dxfId="126" priority="206" operator="between">
      <formula>37%</formula>
      <formula>50%</formula>
    </cfRule>
    <cfRule type="cellIs" dxfId="125" priority="207" operator="between">
      <formula>16%</formula>
      <formula>37%</formula>
    </cfRule>
    <cfRule type="cellIs" dxfId="124" priority="208" operator="lessThan">
      <formula>16%</formula>
    </cfRule>
  </conditionalFormatting>
  <conditionalFormatting sqref="M10">
    <cfRule type="cellIs" dxfId="123" priority="197" operator="greaterThan">
      <formula>50%</formula>
    </cfRule>
    <cfRule type="cellIs" dxfId="122" priority="198" operator="between">
      <formula>37%</formula>
      <formula>50%</formula>
    </cfRule>
    <cfRule type="cellIs" dxfId="121" priority="199" operator="between">
      <formula>16%</formula>
      <formula>37%</formula>
    </cfRule>
    <cfRule type="cellIs" dxfId="120" priority="200" operator="lessThan">
      <formula>16%</formula>
    </cfRule>
  </conditionalFormatting>
  <conditionalFormatting sqref="M12">
    <cfRule type="cellIs" dxfId="119" priority="193" operator="greaterThan">
      <formula>50%</formula>
    </cfRule>
    <cfRule type="cellIs" dxfId="118" priority="194" operator="between">
      <formula>37%</formula>
      <formula>50%</formula>
    </cfRule>
    <cfRule type="cellIs" dxfId="117" priority="195" operator="between">
      <formula>16%</formula>
      <formula>37%</formula>
    </cfRule>
    <cfRule type="cellIs" dxfId="116" priority="196" operator="lessThan">
      <formula>16%</formula>
    </cfRule>
  </conditionalFormatting>
  <conditionalFormatting sqref="M14">
    <cfRule type="cellIs" dxfId="115" priority="189" operator="greaterThan">
      <formula>50%</formula>
    </cfRule>
    <cfRule type="cellIs" dxfId="114" priority="190" operator="between">
      <formula>37%</formula>
      <formula>50%</formula>
    </cfRule>
    <cfRule type="cellIs" dxfId="113" priority="191" operator="between">
      <formula>16%</formula>
      <formula>37%</formula>
    </cfRule>
    <cfRule type="cellIs" dxfId="112" priority="192" operator="lessThan">
      <formula>16%</formula>
    </cfRule>
  </conditionalFormatting>
  <conditionalFormatting sqref="M17">
    <cfRule type="cellIs" dxfId="111" priority="185" operator="greaterThan">
      <formula>50%</formula>
    </cfRule>
    <cfRule type="cellIs" dxfId="110" priority="186" operator="between">
      <formula>37%</formula>
      <formula>50%</formula>
    </cfRule>
    <cfRule type="cellIs" dxfId="109" priority="187" operator="between">
      <formula>16%</formula>
      <formula>37%</formula>
    </cfRule>
    <cfRule type="cellIs" dxfId="108" priority="188" operator="lessThan">
      <formula>16%</formula>
    </cfRule>
  </conditionalFormatting>
  <conditionalFormatting sqref="M19">
    <cfRule type="cellIs" dxfId="107" priority="181" operator="greaterThan">
      <formula>50%</formula>
    </cfRule>
    <cfRule type="cellIs" dxfId="106" priority="182" operator="between">
      <formula>37%</formula>
      <formula>50%</formula>
    </cfRule>
    <cfRule type="cellIs" dxfId="105" priority="183" operator="between">
      <formula>16%</formula>
      <formula>37%</formula>
    </cfRule>
    <cfRule type="cellIs" dxfId="104" priority="184" operator="lessThan">
      <formula>16%</formula>
    </cfRule>
  </conditionalFormatting>
  <conditionalFormatting sqref="N36">
    <cfRule type="cellIs" dxfId="103" priority="169" operator="greaterThan">
      <formula>50%</formula>
    </cfRule>
    <cfRule type="cellIs" dxfId="102" priority="170" operator="between">
      <formula>37%</formula>
      <formula>50%</formula>
    </cfRule>
    <cfRule type="cellIs" dxfId="101" priority="171" operator="between">
      <formula>16%</formula>
      <formula>37%</formula>
    </cfRule>
    <cfRule type="cellIs" dxfId="100" priority="172" operator="lessThan">
      <formula>16%</formula>
    </cfRule>
  </conditionalFormatting>
  <conditionalFormatting sqref="N38">
    <cfRule type="cellIs" dxfId="99" priority="165" operator="greaterThan">
      <formula>50%</formula>
    </cfRule>
    <cfRule type="cellIs" dxfId="98" priority="166" operator="between">
      <formula>37%</formula>
      <formula>50%</formula>
    </cfRule>
    <cfRule type="cellIs" dxfId="97" priority="167" operator="between">
      <formula>16%</formula>
      <formula>37%</formula>
    </cfRule>
    <cfRule type="cellIs" dxfId="96" priority="168" operator="lessThan">
      <formula>16%</formula>
    </cfRule>
  </conditionalFormatting>
  <conditionalFormatting sqref="N40">
    <cfRule type="cellIs" dxfId="95" priority="161" operator="greaterThan">
      <formula>50%</formula>
    </cfRule>
    <cfRule type="cellIs" dxfId="94" priority="162" operator="between">
      <formula>37%</formula>
      <formula>50%</formula>
    </cfRule>
    <cfRule type="cellIs" dxfId="93" priority="163" operator="between">
      <formula>16%</formula>
      <formula>37%</formula>
    </cfRule>
    <cfRule type="cellIs" dxfId="92" priority="164" operator="lessThan">
      <formula>16%</formula>
    </cfRule>
  </conditionalFormatting>
  <conditionalFormatting sqref="N43">
    <cfRule type="cellIs" dxfId="91" priority="157" operator="greaterThan">
      <formula>50%</formula>
    </cfRule>
    <cfRule type="cellIs" dxfId="90" priority="158" operator="between">
      <formula>37%</formula>
      <formula>50%</formula>
    </cfRule>
    <cfRule type="cellIs" dxfId="89" priority="159" operator="between">
      <formula>16%</formula>
      <formula>37%</formula>
    </cfRule>
    <cfRule type="cellIs" dxfId="88" priority="160" operator="lessThan">
      <formula>16%</formula>
    </cfRule>
  </conditionalFormatting>
  <conditionalFormatting sqref="N45">
    <cfRule type="cellIs" dxfId="87" priority="153" operator="greaterThan">
      <formula>50%</formula>
    </cfRule>
    <cfRule type="cellIs" dxfId="86" priority="154" operator="between">
      <formula>37%</formula>
      <formula>50%</formula>
    </cfRule>
    <cfRule type="cellIs" dxfId="85" priority="155" operator="between">
      <formula>16%</formula>
      <formula>37%</formula>
    </cfRule>
    <cfRule type="cellIs" dxfId="84" priority="156" operator="lessThan">
      <formula>16%</formula>
    </cfRule>
  </conditionalFormatting>
  <conditionalFormatting sqref="M34">
    <cfRule type="cellIs" dxfId="83" priority="149" operator="greaterThan">
      <formula>50%</formula>
    </cfRule>
    <cfRule type="cellIs" dxfId="82" priority="150" operator="between">
      <formula>37%</formula>
      <formula>50%</formula>
    </cfRule>
    <cfRule type="cellIs" dxfId="81" priority="151" operator="between">
      <formula>16%</formula>
      <formula>37%</formula>
    </cfRule>
    <cfRule type="cellIs" dxfId="80" priority="152" operator="lessThan">
      <formula>16%</formula>
    </cfRule>
  </conditionalFormatting>
  <conditionalFormatting sqref="M36">
    <cfRule type="cellIs" dxfId="79" priority="145" operator="greaterThan">
      <formula>50%</formula>
    </cfRule>
    <cfRule type="cellIs" dxfId="78" priority="146" operator="between">
      <formula>37%</formula>
      <formula>50%</formula>
    </cfRule>
    <cfRule type="cellIs" dxfId="77" priority="147" operator="between">
      <formula>16%</formula>
      <formula>37%</formula>
    </cfRule>
    <cfRule type="cellIs" dxfId="76" priority="148" operator="lessThan">
      <formula>16%</formula>
    </cfRule>
  </conditionalFormatting>
  <conditionalFormatting sqref="M38">
    <cfRule type="cellIs" dxfId="75" priority="141" operator="greaterThan">
      <formula>50%</formula>
    </cfRule>
    <cfRule type="cellIs" dxfId="74" priority="142" operator="between">
      <formula>37%</formula>
      <formula>50%</formula>
    </cfRule>
    <cfRule type="cellIs" dxfId="73" priority="143" operator="between">
      <formula>16%</formula>
      <formula>37%</formula>
    </cfRule>
    <cfRule type="cellIs" dxfId="72" priority="144" operator="lessThan">
      <formula>16%</formula>
    </cfRule>
  </conditionalFormatting>
  <conditionalFormatting sqref="M40">
    <cfRule type="cellIs" dxfId="71" priority="137" operator="greaterThan">
      <formula>50%</formula>
    </cfRule>
    <cfRule type="cellIs" dxfId="70" priority="138" operator="between">
      <formula>37%</formula>
      <formula>50%</formula>
    </cfRule>
    <cfRule type="cellIs" dxfId="69" priority="139" operator="between">
      <formula>16%</formula>
      <formula>37%</formula>
    </cfRule>
    <cfRule type="cellIs" dxfId="68" priority="140" operator="lessThan">
      <formula>16%</formula>
    </cfRule>
  </conditionalFormatting>
  <conditionalFormatting sqref="M43">
    <cfRule type="cellIs" dxfId="67" priority="133" operator="greaterThan">
      <formula>50%</formula>
    </cfRule>
    <cfRule type="cellIs" dxfId="66" priority="134" operator="between">
      <formula>37%</formula>
      <formula>50%</formula>
    </cfRule>
    <cfRule type="cellIs" dxfId="65" priority="135" operator="between">
      <formula>16%</formula>
      <formula>37%</formula>
    </cfRule>
    <cfRule type="cellIs" dxfId="64" priority="136" operator="lessThan">
      <formula>16%</formula>
    </cfRule>
  </conditionalFormatting>
  <conditionalFormatting sqref="M45">
    <cfRule type="cellIs" dxfId="63" priority="129" operator="greaterThan">
      <formula>50%</formula>
    </cfRule>
    <cfRule type="cellIs" dxfId="62" priority="130" operator="between">
      <formula>37%</formula>
      <formula>50%</formula>
    </cfRule>
    <cfRule type="cellIs" dxfId="61" priority="131" operator="between">
      <formula>16%</formula>
      <formula>37%</formula>
    </cfRule>
    <cfRule type="cellIs" dxfId="60" priority="132" operator="lessThan">
      <formula>16%</formula>
    </cfRule>
  </conditionalFormatting>
  <conditionalFormatting sqref="D8:D22 D25:D27 D33:D38">
    <cfRule type="cellIs" dxfId="59" priority="125" operator="greaterThan">
      <formula>50.1%</formula>
    </cfRule>
    <cfRule type="cellIs" dxfId="58" priority="126" operator="between">
      <formula>37%</formula>
      <formula>50%</formula>
    </cfRule>
    <cfRule type="cellIs" dxfId="57" priority="127" operator="between">
      <formula>16%</formula>
      <formula>37%</formula>
    </cfRule>
    <cfRule type="cellIs" dxfId="56" priority="128" operator="lessThan">
      <formula>16%</formula>
    </cfRule>
  </conditionalFormatting>
  <conditionalFormatting sqref="N34">
    <cfRule type="cellIs" dxfId="55" priority="105" operator="greaterThan">
      <formula>50%</formula>
    </cfRule>
    <cfRule type="cellIs" dxfId="54" priority="106" operator="between">
      <formula>37%</formula>
      <formula>50%</formula>
    </cfRule>
    <cfRule type="cellIs" dxfId="53" priority="107" operator="between">
      <formula>16%</formula>
      <formula>37%</formula>
    </cfRule>
    <cfRule type="cellIs" dxfId="52" priority="108" operator="lessThan">
      <formula>16%</formula>
    </cfRule>
  </conditionalFormatting>
  <conditionalFormatting sqref="M8">
    <cfRule type="cellIs" dxfId="51" priority="101" operator="greaterThan">
      <formula>50%</formula>
    </cfRule>
    <cfRule type="cellIs" dxfId="50" priority="102" operator="between">
      <formula>37%</formula>
      <formula>50%</formula>
    </cfRule>
    <cfRule type="cellIs" dxfId="49" priority="103" operator="between">
      <formula>16%</formula>
      <formula>37%</formula>
    </cfRule>
    <cfRule type="cellIs" dxfId="48" priority="104" operator="lessThan">
      <formula>16%</formula>
    </cfRule>
  </conditionalFormatting>
  <conditionalFormatting sqref="Q6">
    <cfRule type="cellIs" dxfId="47" priority="93" operator="greaterThan">
      <formula>24%</formula>
    </cfRule>
    <cfRule type="cellIs" dxfId="46" priority="94" operator="between">
      <formula>19.1%</formula>
      <formula>24%</formula>
    </cfRule>
    <cfRule type="cellIs" dxfId="45" priority="95" operator="between">
      <formula>9%</formula>
      <formula>19%</formula>
    </cfRule>
    <cfRule type="cellIs" dxfId="44" priority="96" operator="lessThan">
      <formula>9%</formula>
    </cfRule>
  </conditionalFormatting>
  <conditionalFormatting sqref="Q7:Q11">
    <cfRule type="cellIs" dxfId="43" priority="89" operator="greaterThan">
      <formula>24%</formula>
    </cfRule>
    <cfRule type="cellIs" dxfId="42" priority="90" operator="between">
      <formula>19.1%</formula>
      <formula>24%</formula>
    </cfRule>
    <cfRule type="cellIs" dxfId="41" priority="91" operator="between">
      <formula>9%</formula>
      <formula>19%</formula>
    </cfRule>
    <cfRule type="cellIs" dxfId="40" priority="92" operator="lessThan">
      <formula>9%</formula>
    </cfRule>
  </conditionalFormatting>
  <conditionalFormatting sqref="R6:R11">
    <cfRule type="cellIs" dxfId="39" priority="85" operator="greaterThan">
      <formula>24%</formula>
    </cfRule>
    <cfRule type="cellIs" dxfId="38" priority="86" operator="between">
      <formula>19.1%</formula>
      <formula>24%</formula>
    </cfRule>
    <cfRule type="cellIs" dxfId="37" priority="87" operator="between">
      <formula>9%</formula>
      <formula>19%</formula>
    </cfRule>
    <cfRule type="cellIs" dxfId="36" priority="88" operator="lessThan">
      <formula>9%</formula>
    </cfRule>
  </conditionalFormatting>
  <conditionalFormatting sqref="B32:B38">
    <cfRule type="cellIs" dxfId="35" priority="81" operator="greaterThan">
      <formula>50.1%</formula>
    </cfRule>
    <cfRule type="cellIs" dxfId="34" priority="82" operator="between">
      <formula>37%</formula>
      <formula>50%</formula>
    </cfRule>
    <cfRule type="cellIs" dxfId="33" priority="83" operator="between">
      <formula>16%</formula>
      <formula>37%</formula>
    </cfRule>
    <cfRule type="cellIs" dxfId="32" priority="84" operator="lessThan">
      <formula>16%</formula>
    </cfRule>
  </conditionalFormatting>
  <conditionalFormatting sqref="C32:D32 C33:C38">
    <cfRule type="cellIs" dxfId="31" priority="77" operator="greaterThan">
      <formula>50.1%</formula>
    </cfRule>
    <cfRule type="cellIs" dxfId="30" priority="78" operator="between">
      <formula>37%</formula>
      <formula>50%</formula>
    </cfRule>
    <cfRule type="cellIs" dxfId="29" priority="79" operator="between">
      <formula>16%</formula>
      <formula>37%</formula>
    </cfRule>
    <cfRule type="cellIs" dxfId="28" priority="80" operator="lessThan">
      <formula>16%</formula>
    </cfRule>
  </conditionalFormatting>
  <conditionalFormatting sqref="B39:D39">
    <cfRule type="cellIs" dxfId="27" priority="65" operator="greaterThan">
      <formula>50.1%</formula>
    </cfRule>
    <cfRule type="cellIs" dxfId="26" priority="66" operator="between">
      <formula>37%</formula>
      <formula>50%</formula>
    </cfRule>
    <cfRule type="cellIs" dxfId="25" priority="67" operator="between">
      <formula>16%</formula>
      <formula>37%</formula>
    </cfRule>
    <cfRule type="cellIs" dxfId="24" priority="68" operator="lessThan">
      <formula>16%</formula>
    </cfRule>
  </conditionalFormatting>
  <conditionalFormatting sqref="D23:D24">
    <cfRule type="cellIs" dxfId="23" priority="61" operator="greaterThan">
      <formula>50.1%</formula>
    </cfRule>
    <cfRule type="cellIs" dxfId="22" priority="62" operator="between">
      <formula>37%</formula>
      <formula>50%</formula>
    </cfRule>
    <cfRule type="cellIs" dxfId="21" priority="63" operator="between">
      <formula>16%</formula>
      <formula>37%</formula>
    </cfRule>
    <cfRule type="cellIs" dxfId="20" priority="64" operator="lessThan">
      <formula>16%</formula>
    </cfRule>
  </conditionalFormatting>
  <conditionalFormatting sqref="B93:D99">
    <cfRule type="cellIs" dxfId="19" priority="1" operator="equal">
      <formula>0</formula>
    </cfRule>
  </conditionalFormatting>
  <conditionalFormatting sqref="B100">
    <cfRule type="cellIs" dxfId="18" priority="17" operator="greaterThan">
      <formula>99.1%</formula>
    </cfRule>
    <cfRule type="cellIs" dxfId="17" priority="18" operator="between">
      <formula>76%</formula>
      <formula>99%</formula>
    </cfRule>
    <cfRule type="cellIs" dxfId="16" priority="19" operator="between">
      <formula>34.1%</formula>
      <formula>75%</formula>
    </cfRule>
    <cfRule type="cellIs" dxfId="15" priority="20" operator="lessThanOrEqual">
      <formula>34%</formula>
    </cfRule>
  </conditionalFormatting>
  <conditionalFormatting sqref="B100">
    <cfRule type="cellIs" dxfId="14" priority="16" operator="equal">
      <formula>0</formula>
    </cfRule>
  </conditionalFormatting>
  <conditionalFormatting sqref="C100:D100">
    <cfRule type="cellIs" dxfId="13" priority="12" operator="greaterThan">
      <formula>99.1%</formula>
    </cfRule>
    <cfRule type="cellIs" dxfId="12" priority="13" operator="between">
      <formula>76%</formula>
      <formula>99%</formula>
    </cfRule>
    <cfRule type="cellIs" dxfId="11" priority="14" operator="between">
      <formula>34.1%</formula>
      <formula>75%</formula>
    </cfRule>
    <cfRule type="cellIs" dxfId="10" priority="15" operator="lessThanOrEqual">
      <formula>34%</formula>
    </cfRule>
  </conditionalFormatting>
  <conditionalFormatting sqref="C100:D100">
    <cfRule type="cellIs" dxfId="9" priority="11" operator="equal">
      <formula>0</formula>
    </cfRule>
  </conditionalFormatting>
  <conditionalFormatting sqref="D69:D88">
    <cfRule type="cellIs" dxfId="8" priority="7" operator="greaterThan">
      <formula>74.1%</formula>
    </cfRule>
    <cfRule type="cellIs" dxfId="7" priority="8" operator="between">
      <formula>56.1%</formula>
      <formula>74%</formula>
    </cfRule>
    <cfRule type="cellIs" dxfId="6" priority="9" operator="between">
      <formula>25.1%</formula>
      <formula>56%</formula>
    </cfRule>
    <cfRule type="cellIs" dxfId="5" priority="10" operator="lessThanOrEqual">
      <formula>25%</formula>
    </cfRule>
  </conditionalFormatting>
  <conditionalFormatting sqref="D69:D88">
    <cfRule type="cellIs" dxfId="4" priority="6" operator="equal">
      <formula>0</formula>
    </cfRule>
  </conditionalFormatting>
  <conditionalFormatting sqref="B93:D99">
    <cfRule type="cellIs" dxfId="3" priority="2" operator="greaterThan">
      <formula>74.1%</formula>
    </cfRule>
    <cfRule type="cellIs" dxfId="2" priority="3" operator="between">
      <formula>56.1%</formula>
      <formula>74%</formula>
    </cfRule>
    <cfRule type="cellIs" dxfId="1" priority="4" operator="between">
      <formula>25.1%</formula>
      <formula>56%</formula>
    </cfRule>
    <cfRule type="cellIs" dxfId="0" priority="5" operator="lessThanOrEqual">
      <formula>25%</formula>
    </cfRule>
  </conditionalFormatting>
  <pageMargins left="0.7" right="0.7" top="0.75" bottom="0.75" header="0.3" footer="0.3"/>
  <pageSetup paperSize="9" orientation="portrait" r:id="rId1"/>
  <ignoredErrors>
    <ignoredError sqref="N10" 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34"/>
  <sheetViews>
    <sheetView workbookViewId="0">
      <pane xSplit="1" ySplit="2" topLeftCell="B126" activePane="bottomRight" state="frozen"/>
      <selection activeCell="F84" sqref="F84"/>
      <selection pane="topRight" activeCell="F84" sqref="F84"/>
      <selection pane="bottomLeft" activeCell="F84" sqref="F84"/>
      <selection pane="bottomRight" activeCell="F84" sqref="F84"/>
    </sheetView>
  </sheetViews>
  <sheetFormatPr baseColWidth="10" defaultRowHeight="15" x14ac:dyDescent="0.25"/>
  <cols>
    <col min="2" max="2" width="76.140625" customWidth="1"/>
    <col min="3" max="3" width="10.140625" customWidth="1"/>
    <col min="4" max="4" width="14" customWidth="1"/>
    <col min="5" max="5" width="16.140625" customWidth="1"/>
    <col min="6" max="6" width="12.7109375" bestFit="1" customWidth="1"/>
    <col min="7" max="7" width="11.85546875" bestFit="1" customWidth="1"/>
    <col min="11" max="11" width="14" bestFit="1" customWidth="1"/>
    <col min="19" max="19" width="14.7109375" customWidth="1"/>
    <col min="21" max="21" width="17.7109375" customWidth="1"/>
    <col min="22" max="22" width="16" customWidth="1"/>
  </cols>
  <sheetData>
    <row r="1" spans="1:22" x14ac:dyDescent="0.25">
      <c r="C1" s="695" t="s">
        <v>814</v>
      </c>
      <c r="D1" s="695"/>
      <c r="E1" s="695"/>
      <c r="F1" s="695"/>
      <c r="G1" s="695"/>
      <c r="H1" s="695"/>
      <c r="I1" s="695"/>
      <c r="J1" s="695"/>
      <c r="K1" s="695"/>
    </row>
    <row r="2" spans="1:22" ht="45" x14ac:dyDescent="0.25">
      <c r="A2" s="103" t="s">
        <v>11</v>
      </c>
      <c r="B2" s="103" t="s">
        <v>12</v>
      </c>
      <c r="C2" s="103" t="s">
        <v>741</v>
      </c>
      <c r="D2" s="239" t="s">
        <v>740</v>
      </c>
      <c r="E2" s="239" t="s">
        <v>804</v>
      </c>
      <c r="F2" s="239" t="s">
        <v>816</v>
      </c>
      <c r="G2" s="103" t="s">
        <v>805</v>
      </c>
      <c r="H2" s="239" t="s">
        <v>806</v>
      </c>
      <c r="I2" s="103" t="s">
        <v>807</v>
      </c>
      <c r="J2" s="103"/>
      <c r="K2" s="239" t="s">
        <v>742</v>
      </c>
      <c r="L2" s="239" t="s">
        <v>815</v>
      </c>
      <c r="M2" s="239" t="s">
        <v>817</v>
      </c>
      <c r="N2" s="239" t="s">
        <v>818</v>
      </c>
      <c r="O2" s="239" t="s">
        <v>820</v>
      </c>
      <c r="P2" s="239" t="s">
        <v>821</v>
      </c>
      <c r="Q2" s="239" t="s">
        <v>822</v>
      </c>
      <c r="R2" s="239" t="s">
        <v>823</v>
      </c>
      <c r="S2" s="239" t="s">
        <v>824</v>
      </c>
      <c r="T2" s="239" t="s">
        <v>826</v>
      </c>
      <c r="U2" s="239" t="s">
        <v>827</v>
      </c>
      <c r="V2" s="239" t="s">
        <v>742</v>
      </c>
    </row>
    <row r="3" spans="1:22" ht="30" x14ac:dyDescent="0.25">
      <c r="A3" s="1" t="s">
        <v>23</v>
      </c>
      <c r="B3" s="2" t="s">
        <v>24</v>
      </c>
      <c r="C3" s="227">
        <v>510</v>
      </c>
      <c r="D3" s="5">
        <v>21000000</v>
      </c>
      <c r="E3" s="5">
        <v>23000000</v>
      </c>
      <c r="K3" s="67">
        <f t="shared" ref="K3:K6" si="0">(D3+E3+F3+H3)-(G3+I3)</f>
        <v>44000000</v>
      </c>
      <c r="N3" s="67"/>
      <c r="V3" s="67">
        <f t="shared" ref="V3:V67" si="1">(K3+L3+M3+N3+O3+P3+Q3+R3+T3)-(S3+U3)</f>
        <v>44000000</v>
      </c>
    </row>
    <row r="4" spans="1:22" ht="30" x14ac:dyDescent="0.25">
      <c r="A4" s="1" t="s">
        <v>26</v>
      </c>
      <c r="B4" s="2" t="s">
        <v>27</v>
      </c>
      <c r="C4" s="227">
        <v>510</v>
      </c>
      <c r="D4" s="5">
        <v>32000000</v>
      </c>
      <c r="E4" s="5">
        <v>21000000</v>
      </c>
      <c r="F4">
        <v>854378</v>
      </c>
      <c r="K4" s="67">
        <f t="shared" si="0"/>
        <v>53854378</v>
      </c>
      <c r="M4">
        <v>1000000</v>
      </c>
      <c r="N4" s="67"/>
      <c r="V4" s="67">
        <f t="shared" si="1"/>
        <v>54854378</v>
      </c>
    </row>
    <row r="5" spans="1:22" ht="30" x14ac:dyDescent="0.25">
      <c r="A5" s="1" t="s">
        <v>29</v>
      </c>
      <c r="B5" s="2" t="s">
        <v>30</v>
      </c>
      <c r="C5" s="229">
        <v>510</v>
      </c>
      <c r="D5" s="5">
        <v>12000000</v>
      </c>
      <c r="E5" s="5">
        <v>17594219</v>
      </c>
      <c r="K5" s="67">
        <f t="shared" si="0"/>
        <v>29594219</v>
      </c>
      <c r="N5" s="67"/>
      <c r="V5" s="67">
        <f t="shared" si="1"/>
        <v>29594219</v>
      </c>
    </row>
    <row r="6" spans="1:22" ht="30" x14ac:dyDescent="0.25">
      <c r="A6" s="1" t="s">
        <v>33</v>
      </c>
      <c r="B6" s="2" t="s">
        <v>34</v>
      </c>
      <c r="C6" s="227">
        <v>510</v>
      </c>
      <c r="D6" s="5">
        <v>36000000</v>
      </c>
      <c r="E6" s="5"/>
      <c r="K6" s="67">
        <f t="shared" si="0"/>
        <v>36000000</v>
      </c>
      <c r="N6" s="67"/>
      <c r="V6" s="67">
        <f t="shared" si="1"/>
        <v>36000000</v>
      </c>
    </row>
    <row r="7" spans="1:22" ht="45" x14ac:dyDescent="0.25">
      <c r="A7" s="10" t="s">
        <v>37</v>
      </c>
      <c r="B7" s="2" t="s">
        <v>38</v>
      </c>
      <c r="C7" s="227">
        <v>310</v>
      </c>
      <c r="D7" s="5">
        <v>120000000</v>
      </c>
      <c r="E7" s="5"/>
      <c r="F7">
        <v>58290131</v>
      </c>
      <c r="K7" s="67">
        <f t="shared" ref="K7:K12" si="2">(D7+E7+F7+H7)-(G7+I7)</f>
        <v>178290131</v>
      </c>
      <c r="N7" s="67"/>
      <c r="V7" s="67">
        <f t="shared" si="1"/>
        <v>178290131</v>
      </c>
    </row>
    <row r="8" spans="1:22" x14ac:dyDescent="0.25">
      <c r="A8" s="1" t="s">
        <v>40</v>
      </c>
      <c r="B8" s="2" t="s">
        <v>41</v>
      </c>
      <c r="C8" s="227">
        <v>310</v>
      </c>
      <c r="D8" s="5">
        <v>331000000</v>
      </c>
      <c r="E8" s="5">
        <v>186290131</v>
      </c>
      <c r="G8">
        <v>158290131</v>
      </c>
      <c r="K8" s="67">
        <f t="shared" si="2"/>
        <v>359000000</v>
      </c>
      <c r="N8" s="67"/>
      <c r="R8">
        <v>5000000</v>
      </c>
      <c r="V8" s="67">
        <f t="shared" si="1"/>
        <v>364000000</v>
      </c>
    </row>
    <row r="9" spans="1:22" x14ac:dyDescent="0.25">
      <c r="A9" s="1" t="s">
        <v>43</v>
      </c>
      <c r="B9" s="2" t="s">
        <v>44</v>
      </c>
      <c r="C9" s="227">
        <v>310</v>
      </c>
      <c r="D9" s="5">
        <v>30000000</v>
      </c>
      <c r="E9" s="5"/>
      <c r="K9" s="67">
        <f t="shared" si="2"/>
        <v>30000000</v>
      </c>
      <c r="N9" s="67"/>
      <c r="V9" s="67">
        <f t="shared" si="1"/>
        <v>30000000</v>
      </c>
    </row>
    <row r="10" spans="1:22" ht="30" x14ac:dyDescent="0.25">
      <c r="A10" s="1" t="s">
        <v>45</v>
      </c>
      <c r="B10" s="2" t="s">
        <v>46</v>
      </c>
      <c r="C10" s="227">
        <v>310</v>
      </c>
      <c r="D10" s="5">
        <v>0</v>
      </c>
      <c r="E10" s="5">
        <v>23240492</v>
      </c>
      <c r="K10" s="67">
        <f t="shared" si="2"/>
        <v>23240492</v>
      </c>
      <c r="V10" s="67">
        <f t="shared" si="1"/>
        <v>23240492</v>
      </c>
    </row>
    <row r="11" spans="1:22" x14ac:dyDescent="0.25">
      <c r="A11" s="1" t="s">
        <v>48</v>
      </c>
      <c r="B11" s="2" t="s">
        <v>49</v>
      </c>
      <c r="C11" s="227">
        <v>310</v>
      </c>
      <c r="D11" s="5">
        <v>0</v>
      </c>
      <c r="E11" s="5"/>
      <c r="K11" s="67">
        <f t="shared" si="2"/>
        <v>0</v>
      </c>
      <c r="V11" s="67">
        <f t="shared" si="1"/>
        <v>0</v>
      </c>
    </row>
    <row r="12" spans="1:22" ht="60" x14ac:dyDescent="0.25">
      <c r="A12" s="10" t="s">
        <v>51</v>
      </c>
      <c r="B12" s="2" t="s">
        <v>52</v>
      </c>
      <c r="C12" s="227">
        <v>510</v>
      </c>
      <c r="D12" s="5">
        <v>210600000</v>
      </c>
      <c r="E12" s="5">
        <v>150000000</v>
      </c>
      <c r="K12" s="67">
        <f t="shared" si="2"/>
        <v>360600000</v>
      </c>
      <c r="L12">
        <v>4000000</v>
      </c>
      <c r="N12">
        <v>3000000</v>
      </c>
      <c r="V12" s="67">
        <f t="shared" si="1"/>
        <v>367600000</v>
      </c>
    </row>
    <row r="13" spans="1:22" ht="30" x14ac:dyDescent="0.25">
      <c r="A13" s="1" t="s">
        <v>55</v>
      </c>
      <c r="B13" s="2" t="s">
        <v>56</v>
      </c>
      <c r="C13" s="227">
        <v>510</v>
      </c>
      <c r="D13" s="5">
        <v>50000000</v>
      </c>
      <c r="E13" s="5">
        <v>50000000</v>
      </c>
      <c r="K13" s="67">
        <f t="shared" ref="K13:K23" si="3">(D13+E13+F13+H13)-(G13+I13)</f>
        <v>100000000</v>
      </c>
      <c r="V13" s="67">
        <f t="shared" si="1"/>
        <v>100000000</v>
      </c>
    </row>
    <row r="14" spans="1:22" ht="30" x14ac:dyDescent="0.25">
      <c r="A14" s="1" t="s">
        <v>58</v>
      </c>
      <c r="B14" s="2" t="s">
        <v>59</v>
      </c>
      <c r="C14" s="227">
        <v>510</v>
      </c>
      <c r="D14" s="5">
        <v>50000000</v>
      </c>
      <c r="E14" s="5">
        <v>25092920</v>
      </c>
      <c r="K14" s="67">
        <f t="shared" si="3"/>
        <v>75092920</v>
      </c>
      <c r="V14" s="67">
        <f t="shared" si="1"/>
        <v>75092920</v>
      </c>
    </row>
    <row r="15" spans="1:22" ht="30" x14ac:dyDescent="0.25">
      <c r="A15" s="1" t="s">
        <v>60</v>
      </c>
      <c r="B15" s="2" t="s">
        <v>61</v>
      </c>
      <c r="C15" s="227">
        <v>510</v>
      </c>
      <c r="D15" s="5">
        <v>80000000</v>
      </c>
      <c r="E15" s="5">
        <v>23646000</v>
      </c>
      <c r="K15" s="67">
        <f t="shared" si="3"/>
        <v>103646000</v>
      </c>
      <c r="V15" s="67">
        <f t="shared" si="1"/>
        <v>103646000</v>
      </c>
    </row>
    <row r="16" spans="1:22" x14ac:dyDescent="0.25">
      <c r="A16" s="1" t="s">
        <v>63</v>
      </c>
      <c r="B16" s="2" t="s">
        <v>64</v>
      </c>
      <c r="C16" s="227">
        <v>510</v>
      </c>
      <c r="D16" s="5">
        <v>34000000</v>
      </c>
      <c r="E16" s="5"/>
      <c r="K16" s="67">
        <f t="shared" si="3"/>
        <v>34000000</v>
      </c>
      <c r="V16" s="67">
        <f t="shared" si="1"/>
        <v>34000000</v>
      </c>
    </row>
    <row r="17" spans="1:22" ht="30" x14ac:dyDescent="0.25">
      <c r="A17" s="10" t="s">
        <v>66</v>
      </c>
      <c r="B17" s="2" t="s">
        <v>67</v>
      </c>
      <c r="C17" s="227">
        <v>510</v>
      </c>
      <c r="D17" s="5">
        <v>65000000</v>
      </c>
      <c r="E17" s="5"/>
      <c r="F17">
        <v>100000000</v>
      </c>
      <c r="K17" s="67">
        <f t="shared" si="3"/>
        <v>165000000</v>
      </c>
      <c r="N17">
        <v>16000000</v>
      </c>
      <c r="V17" s="67">
        <f t="shared" si="1"/>
        <v>181000000</v>
      </c>
    </row>
    <row r="18" spans="1:22" ht="30" x14ac:dyDescent="0.25">
      <c r="A18" s="10" t="s">
        <v>68</v>
      </c>
      <c r="B18" s="2" t="s">
        <v>69</v>
      </c>
      <c r="C18" s="227">
        <v>510</v>
      </c>
      <c r="D18" s="5">
        <v>25000000</v>
      </c>
      <c r="E18" s="5">
        <v>7440391</v>
      </c>
      <c r="K18" s="67">
        <f t="shared" si="3"/>
        <v>32440391</v>
      </c>
      <c r="N18">
        <v>5000000</v>
      </c>
      <c r="V18" s="67">
        <f t="shared" si="1"/>
        <v>37440391</v>
      </c>
    </row>
    <row r="19" spans="1:22" x14ac:dyDescent="0.25">
      <c r="A19" s="1" t="s">
        <v>70</v>
      </c>
      <c r="B19" s="2" t="s">
        <v>71</v>
      </c>
      <c r="C19" s="227">
        <v>510</v>
      </c>
      <c r="D19" s="5">
        <v>0</v>
      </c>
      <c r="E19" s="5"/>
      <c r="K19" s="67">
        <f t="shared" si="3"/>
        <v>0</v>
      </c>
      <c r="V19" s="67">
        <f t="shared" si="1"/>
        <v>0</v>
      </c>
    </row>
    <row r="20" spans="1:22" x14ac:dyDescent="0.25">
      <c r="A20" s="1" t="s">
        <v>74</v>
      </c>
      <c r="B20" s="2" t="s">
        <v>75</v>
      </c>
      <c r="C20" s="227">
        <v>510</v>
      </c>
      <c r="D20" s="5">
        <v>0</v>
      </c>
      <c r="E20" s="5"/>
      <c r="K20" s="67">
        <f t="shared" si="3"/>
        <v>0</v>
      </c>
      <c r="V20" s="67">
        <f t="shared" si="1"/>
        <v>0</v>
      </c>
    </row>
    <row r="21" spans="1:22" ht="30" x14ac:dyDescent="0.25">
      <c r="A21" s="1" t="s">
        <v>828</v>
      </c>
      <c r="B21" s="2" t="s">
        <v>829</v>
      </c>
      <c r="C21" s="264">
        <v>510</v>
      </c>
      <c r="D21" s="5">
        <v>0</v>
      </c>
      <c r="E21" s="5"/>
      <c r="K21" s="67">
        <f t="shared" si="3"/>
        <v>0</v>
      </c>
      <c r="V21" s="67">
        <f t="shared" si="1"/>
        <v>0</v>
      </c>
    </row>
    <row r="22" spans="1:22" x14ac:dyDescent="0.25">
      <c r="A22" s="1" t="s">
        <v>77</v>
      </c>
      <c r="B22" s="2" t="s">
        <v>78</v>
      </c>
      <c r="C22" s="227">
        <v>510</v>
      </c>
      <c r="D22" s="5">
        <v>12000000</v>
      </c>
      <c r="E22" s="5"/>
      <c r="K22" s="67">
        <f t="shared" si="3"/>
        <v>12000000</v>
      </c>
      <c r="V22" s="67">
        <f t="shared" si="1"/>
        <v>12000000</v>
      </c>
    </row>
    <row r="23" spans="1:22" ht="30" x14ac:dyDescent="0.25">
      <c r="A23" s="1" t="s">
        <v>79</v>
      </c>
      <c r="B23" s="2" t="s">
        <v>80</v>
      </c>
      <c r="C23" s="227">
        <v>510</v>
      </c>
      <c r="D23" s="5">
        <v>64500000</v>
      </c>
      <c r="E23" s="5">
        <v>9000000</v>
      </c>
      <c r="K23" s="67">
        <f t="shared" si="3"/>
        <v>73500000</v>
      </c>
      <c r="V23" s="67">
        <f t="shared" si="1"/>
        <v>73500000</v>
      </c>
    </row>
    <row r="24" spans="1:22" x14ac:dyDescent="0.25">
      <c r="A24" s="1" t="s">
        <v>82</v>
      </c>
      <c r="B24" s="12" t="s">
        <v>83</v>
      </c>
      <c r="C24" s="227">
        <v>510</v>
      </c>
      <c r="D24" s="5">
        <v>20000000</v>
      </c>
      <c r="E24" s="5"/>
      <c r="K24" s="67">
        <f t="shared" ref="K24" si="4">(D24+E24+F24+H24)-(G24+I24)</f>
        <v>20000000</v>
      </c>
      <c r="V24" s="67">
        <f t="shared" si="1"/>
        <v>20000000</v>
      </c>
    </row>
    <row r="25" spans="1:22" x14ac:dyDescent="0.25">
      <c r="A25" s="279"/>
      <c r="B25" s="279"/>
      <c r="C25" s="279"/>
      <c r="D25" s="280">
        <f>SUM(D3:D24)</f>
        <v>1193100000</v>
      </c>
      <c r="E25" s="280">
        <f t="shared" ref="E25:L25" si="5">SUM(E3:E24)</f>
        <v>536304153</v>
      </c>
      <c r="F25" s="280">
        <f t="shared" si="5"/>
        <v>159144509</v>
      </c>
      <c r="G25" s="280">
        <f t="shared" si="5"/>
        <v>158290131</v>
      </c>
      <c r="H25" s="280">
        <f t="shared" si="5"/>
        <v>0</v>
      </c>
      <c r="I25" s="280">
        <f t="shared" si="5"/>
        <v>0</v>
      </c>
      <c r="J25" s="280">
        <f t="shared" si="5"/>
        <v>0</v>
      </c>
      <c r="K25" s="280">
        <f t="shared" si="5"/>
        <v>1730258531</v>
      </c>
      <c r="L25" s="280">
        <f t="shared" si="5"/>
        <v>4000000</v>
      </c>
      <c r="M25" s="280">
        <f t="shared" ref="M25" si="6">SUM(M3:M24)</f>
        <v>1000000</v>
      </c>
      <c r="N25" s="280">
        <f t="shared" ref="N25" si="7">SUM(N3:N24)</f>
        <v>24000000</v>
      </c>
      <c r="O25" s="280">
        <f t="shared" ref="O25" si="8">SUM(O3:O24)</f>
        <v>0</v>
      </c>
      <c r="P25" s="280">
        <f t="shared" ref="P25:Q25" si="9">SUM(P3:P24)</f>
        <v>0</v>
      </c>
      <c r="Q25" s="280">
        <f t="shared" si="9"/>
        <v>0</v>
      </c>
      <c r="R25" s="280">
        <f t="shared" ref="R25" si="10">SUM(R3:R24)</f>
        <v>5000000</v>
      </c>
      <c r="S25" s="280">
        <f t="shared" ref="S25" si="11">SUM(S3:S24)</f>
        <v>0</v>
      </c>
      <c r="T25" s="280">
        <f t="shared" ref="T25" si="12">SUM(T3:T24)</f>
        <v>0</v>
      </c>
      <c r="U25" s="280">
        <f t="shared" ref="U25" si="13">SUM(U3:U24)</f>
        <v>0</v>
      </c>
      <c r="V25" s="280">
        <f>(K25+L25+M25+N25+O25+P25+Q25+R25+T25)-(S25+U25)</f>
        <v>1764258531</v>
      </c>
    </row>
    <row r="26" spans="1:22" x14ac:dyDescent="0.25">
      <c r="A26" t="s">
        <v>87</v>
      </c>
      <c r="B26" s="2" t="s">
        <v>88</v>
      </c>
      <c r="C26" s="103">
        <v>410</v>
      </c>
      <c r="D26" s="67">
        <v>150000000</v>
      </c>
      <c r="K26" s="67">
        <f t="shared" ref="K26:K32" si="14">(D26+E26+F26+H26)-(G26+I26)</f>
        <v>150000000</v>
      </c>
      <c r="V26" s="67">
        <f t="shared" si="1"/>
        <v>150000000</v>
      </c>
    </row>
    <row r="27" spans="1:22" ht="30" x14ac:dyDescent="0.25">
      <c r="A27" t="s">
        <v>91</v>
      </c>
      <c r="B27" s="2" t="s">
        <v>92</v>
      </c>
      <c r="C27" s="103">
        <v>410</v>
      </c>
      <c r="D27" s="67">
        <v>350000000</v>
      </c>
      <c r="K27" s="67">
        <f t="shared" si="14"/>
        <v>350000000</v>
      </c>
      <c r="V27" s="67">
        <f t="shared" si="1"/>
        <v>350000000</v>
      </c>
    </row>
    <row r="28" spans="1:22" x14ac:dyDescent="0.25">
      <c r="A28" t="s">
        <v>94</v>
      </c>
      <c r="B28" s="2" t="s">
        <v>95</v>
      </c>
      <c r="C28" s="103">
        <v>410</v>
      </c>
      <c r="D28" s="67">
        <v>1418000000</v>
      </c>
      <c r="K28" s="67">
        <f t="shared" si="14"/>
        <v>1418000000</v>
      </c>
      <c r="V28" s="67">
        <f t="shared" si="1"/>
        <v>1418000000</v>
      </c>
    </row>
    <row r="29" spans="1:22" x14ac:dyDescent="0.25">
      <c r="A29" t="s">
        <v>98</v>
      </c>
      <c r="B29" s="2" t="s">
        <v>99</v>
      </c>
      <c r="C29" s="103">
        <v>410</v>
      </c>
      <c r="D29" s="67">
        <v>15000000</v>
      </c>
      <c r="K29" s="67">
        <f t="shared" si="14"/>
        <v>15000000</v>
      </c>
      <c r="V29" s="67">
        <f t="shared" si="1"/>
        <v>15000000</v>
      </c>
    </row>
    <row r="30" spans="1:22" ht="30" x14ac:dyDescent="0.25">
      <c r="A30" t="s">
        <v>101</v>
      </c>
      <c r="B30" s="2" t="s">
        <v>102</v>
      </c>
      <c r="C30" s="103">
        <v>410</v>
      </c>
      <c r="D30" s="67">
        <v>333275758</v>
      </c>
      <c r="E30">
        <v>107030068</v>
      </c>
      <c r="K30" s="67">
        <f t="shared" si="14"/>
        <v>440305826</v>
      </c>
      <c r="V30" s="67">
        <f t="shared" si="1"/>
        <v>440305826</v>
      </c>
    </row>
    <row r="31" spans="1:22" x14ac:dyDescent="0.25">
      <c r="A31" t="s">
        <v>105</v>
      </c>
      <c r="B31" s="2" t="s">
        <v>106</v>
      </c>
      <c r="C31" s="103">
        <v>410</v>
      </c>
      <c r="D31" s="67">
        <v>5000000</v>
      </c>
      <c r="K31" s="67">
        <f t="shared" si="14"/>
        <v>5000000</v>
      </c>
      <c r="V31" s="67">
        <f t="shared" si="1"/>
        <v>5000000</v>
      </c>
    </row>
    <row r="32" spans="1:22" x14ac:dyDescent="0.25">
      <c r="A32" t="s">
        <v>108</v>
      </c>
      <c r="B32" s="2" t="s">
        <v>109</v>
      </c>
      <c r="C32" s="103">
        <v>410</v>
      </c>
      <c r="D32" s="67">
        <v>5000000</v>
      </c>
      <c r="K32" s="67">
        <f t="shared" si="14"/>
        <v>5000000</v>
      </c>
      <c r="V32" s="67">
        <f t="shared" si="1"/>
        <v>5000000</v>
      </c>
    </row>
    <row r="33" spans="1:22" ht="30" x14ac:dyDescent="0.25">
      <c r="A33" t="s">
        <v>112</v>
      </c>
      <c r="B33" s="2" t="s">
        <v>113</v>
      </c>
      <c r="C33" s="103">
        <v>410</v>
      </c>
      <c r="D33" s="67">
        <v>25000000</v>
      </c>
      <c r="I33">
        <v>25000000</v>
      </c>
      <c r="K33" s="67">
        <f t="shared" ref="K33:K62" si="15">(D33+E33+F33+H33)-(G33+I33)</f>
        <v>0</v>
      </c>
      <c r="V33" s="67">
        <f t="shared" si="1"/>
        <v>0</v>
      </c>
    </row>
    <row r="34" spans="1:22" ht="30" x14ac:dyDescent="0.25">
      <c r="A34" t="s">
        <v>114</v>
      </c>
      <c r="B34" s="2" t="s">
        <v>115</v>
      </c>
      <c r="C34" s="103">
        <v>410</v>
      </c>
      <c r="D34" s="67">
        <v>25000000</v>
      </c>
      <c r="I34">
        <v>7000000</v>
      </c>
      <c r="K34" s="67">
        <f t="shared" si="15"/>
        <v>18000000</v>
      </c>
      <c r="V34" s="67">
        <f t="shared" si="1"/>
        <v>18000000</v>
      </c>
    </row>
    <row r="35" spans="1:22" x14ac:dyDescent="0.25">
      <c r="A35" t="s">
        <v>117</v>
      </c>
      <c r="B35" s="2" t="s">
        <v>118</v>
      </c>
      <c r="C35" s="103">
        <v>410</v>
      </c>
      <c r="D35" s="67">
        <v>50000000</v>
      </c>
      <c r="K35" s="67">
        <f t="shared" si="15"/>
        <v>50000000</v>
      </c>
      <c r="V35" s="67">
        <f t="shared" si="1"/>
        <v>50000000</v>
      </c>
    </row>
    <row r="36" spans="1:22" x14ac:dyDescent="0.25">
      <c r="A36" t="s">
        <v>121</v>
      </c>
      <c r="B36" s="2" t="s">
        <v>122</v>
      </c>
      <c r="C36" s="103">
        <v>410</v>
      </c>
      <c r="D36" s="67">
        <v>50000000</v>
      </c>
      <c r="K36" s="67">
        <f t="shared" si="15"/>
        <v>50000000</v>
      </c>
      <c r="L36">
        <v>5000000</v>
      </c>
      <c r="V36" s="67">
        <f t="shared" si="1"/>
        <v>55000000</v>
      </c>
    </row>
    <row r="37" spans="1:22" x14ac:dyDescent="0.25">
      <c r="A37" t="s">
        <v>125</v>
      </c>
      <c r="B37" s="2" t="s">
        <v>126</v>
      </c>
      <c r="C37" s="103">
        <v>410</v>
      </c>
      <c r="D37" s="67">
        <v>90000000</v>
      </c>
      <c r="K37" s="67">
        <f t="shared" si="15"/>
        <v>90000000</v>
      </c>
      <c r="V37" s="67">
        <f t="shared" si="1"/>
        <v>90000000</v>
      </c>
    </row>
    <row r="38" spans="1:22" ht="30" x14ac:dyDescent="0.25">
      <c r="A38" t="s">
        <v>128</v>
      </c>
      <c r="B38" s="232" t="s">
        <v>129</v>
      </c>
      <c r="C38" s="103">
        <v>410</v>
      </c>
      <c r="D38" s="67">
        <v>8000000</v>
      </c>
      <c r="K38" s="67">
        <f t="shared" si="15"/>
        <v>8000000</v>
      </c>
      <c r="V38" s="67">
        <f t="shared" si="1"/>
        <v>8000000</v>
      </c>
    </row>
    <row r="39" spans="1:22" ht="30" x14ac:dyDescent="0.25">
      <c r="A39" t="s">
        <v>131</v>
      </c>
      <c r="B39" s="232" t="s">
        <v>132</v>
      </c>
      <c r="C39" s="103">
        <v>410</v>
      </c>
      <c r="D39" s="67">
        <v>200000000</v>
      </c>
      <c r="E39">
        <v>15907499</v>
      </c>
      <c r="K39" s="67">
        <f t="shared" si="15"/>
        <v>215907499</v>
      </c>
      <c r="Q39">
        <v>104039242</v>
      </c>
      <c r="V39" s="67">
        <f t="shared" si="1"/>
        <v>319946741</v>
      </c>
    </row>
    <row r="40" spans="1:22" x14ac:dyDescent="0.25">
      <c r="A40" t="s">
        <v>136</v>
      </c>
      <c r="B40" s="232" t="s">
        <v>137</v>
      </c>
      <c r="C40" s="103">
        <v>410</v>
      </c>
      <c r="D40" s="67">
        <v>40000000</v>
      </c>
      <c r="K40" s="67">
        <f t="shared" si="15"/>
        <v>40000000</v>
      </c>
      <c r="P40">
        <v>12000000</v>
      </c>
      <c r="V40" s="67">
        <f t="shared" si="1"/>
        <v>52000000</v>
      </c>
    </row>
    <row r="41" spans="1:22" x14ac:dyDescent="0.25">
      <c r="A41" t="s">
        <v>138</v>
      </c>
      <c r="B41" s="232" t="s">
        <v>139</v>
      </c>
      <c r="C41" s="103">
        <v>410</v>
      </c>
      <c r="D41" s="67">
        <v>70000000</v>
      </c>
      <c r="K41" s="67">
        <f t="shared" si="15"/>
        <v>70000000</v>
      </c>
      <c r="P41">
        <v>15000000</v>
      </c>
      <c r="V41" s="67">
        <f t="shared" si="1"/>
        <v>85000000</v>
      </c>
    </row>
    <row r="42" spans="1:22" x14ac:dyDescent="0.25">
      <c r="A42" t="s">
        <v>141</v>
      </c>
      <c r="B42" s="232" t="s">
        <v>142</v>
      </c>
      <c r="C42" s="103">
        <v>410</v>
      </c>
      <c r="D42" s="67">
        <v>80000000</v>
      </c>
      <c r="K42" s="67">
        <f t="shared" si="15"/>
        <v>80000000</v>
      </c>
      <c r="N42">
        <v>3000000</v>
      </c>
      <c r="V42" s="67">
        <f t="shared" si="1"/>
        <v>83000000</v>
      </c>
    </row>
    <row r="43" spans="1:22" x14ac:dyDescent="0.25">
      <c r="A43" t="s">
        <v>412</v>
      </c>
      <c r="B43" s="232" t="s">
        <v>413</v>
      </c>
      <c r="C43" s="103">
        <v>410</v>
      </c>
      <c r="D43" s="67"/>
      <c r="K43" s="67">
        <f t="shared" si="15"/>
        <v>0</v>
      </c>
      <c r="V43" s="67">
        <f t="shared" si="1"/>
        <v>0</v>
      </c>
    </row>
    <row r="44" spans="1:22" x14ac:dyDescent="0.25">
      <c r="A44" t="s">
        <v>144</v>
      </c>
      <c r="B44" s="232" t="s">
        <v>145</v>
      </c>
      <c r="C44" s="103">
        <v>410</v>
      </c>
      <c r="D44" s="67">
        <v>80000000</v>
      </c>
      <c r="K44" s="67">
        <f t="shared" si="15"/>
        <v>80000000</v>
      </c>
      <c r="V44" s="67">
        <f t="shared" si="1"/>
        <v>80000000</v>
      </c>
    </row>
    <row r="45" spans="1:22" x14ac:dyDescent="0.25">
      <c r="A45" t="s">
        <v>146</v>
      </c>
      <c r="B45" s="232" t="s">
        <v>147</v>
      </c>
      <c r="C45" s="103">
        <v>410</v>
      </c>
      <c r="D45" s="67">
        <v>35000000</v>
      </c>
      <c r="K45" s="67">
        <f t="shared" si="15"/>
        <v>35000000</v>
      </c>
      <c r="V45" s="67">
        <f t="shared" si="1"/>
        <v>35000000</v>
      </c>
    </row>
    <row r="46" spans="1:22" x14ac:dyDescent="0.25">
      <c r="A46" t="s">
        <v>151</v>
      </c>
      <c r="B46" s="232" t="s">
        <v>152</v>
      </c>
      <c r="C46" s="103">
        <v>410</v>
      </c>
      <c r="D46" s="67">
        <v>2500000000</v>
      </c>
      <c r="E46">
        <v>657557814</v>
      </c>
      <c r="K46" s="67">
        <f t="shared" si="15"/>
        <v>3157557814</v>
      </c>
      <c r="V46" s="67">
        <f t="shared" si="1"/>
        <v>3157557814</v>
      </c>
    </row>
    <row r="47" spans="1:22" ht="30" x14ac:dyDescent="0.25">
      <c r="A47" t="s">
        <v>154</v>
      </c>
      <c r="B47" s="232" t="s">
        <v>155</v>
      </c>
      <c r="C47" s="103">
        <v>410</v>
      </c>
      <c r="D47" s="67">
        <v>50000000</v>
      </c>
      <c r="F47">
        <v>32000000</v>
      </c>
      <c r="K47" s="67">
        <f t="shared" si="15"/>
        <v>82000000</v>
      </c>
      <c r="P47">
        <v>80000000</v>
      </c>
      <c r="V47" s="67">
        <f t="shared" si="1"/>
        <v>162000000</v>
      </c>
    </row>
    <row r="48" spans="1:22" x14ac:dyDescent="0.25">
      <c r="A48" t="s">
        <v>157</v>
      </c>
      <c r="B48" s="232" t="s">
        <v>158</v>
      </c>
      <c r="C48" s="103">
        <v>410</v>
      </c>
      <c r="D48" s="67">
        <v>0</v>
      </c>
      <c r="K48" s="67">
        <f t="shared" si="15"/>
        <v>0</v>
      </c>
      <c r="V48" s="67">
        <f t="shared" si="1"/>
        <v>0</v>
      </c>
    </row>
    <row r="49" spans="1:22" x14ac:dyDescent="0.25">
      <c r="A49" t="s">
        <v>161</v>
      </c>
      <c r="B49" s="232" t="s">
        <v>162</v>
      </c>
      <c r="C49" s="103">
        <v>410</v>
      </c>
      <c r="D49" s="67">
        <v>0</v>
      </c>
      <c r="K49" s="67">
        <f t="shared" si="15"/>
        <v>0</v>
      </c>
      <c r="V49" s="67">
        <f t="shared" si="1"/>
        <v>0</v>
      </c>
    </row>
    <row r="50" spans="1:22" ht="30" x14ac:dyDescent="0.25">
      <c r="A50" t="s">
        <v>163</v>
      </c>
      <c r="B50" s="232" t="s">
        <v>164</v>
      </c>
      <c r="C50" s="103">
        <v>410</v>
      </c>
      <c r="D50" s="67">
        <v>0</v>
      </c>
      <c r="K50" s="67">
        <f t="shared" si="15"/>
        <v>0</v>
      </c>
      <c r="V50" s="67">
        <f t="shared" si="1"/>
        <v>0</v>
      </c>
    </row>
    <row r="51" spans="1:22" x14ac:dyDescent="0.25">
      <c r="A51" t="s">
        <v>166</v>
      </c>
      <c r="B51" s="232" t="s">
        <v>167</v>
      </c>
      <c r="C51" s="103">
        <v>410</v>
      </c>
      <c r="D51" s="67">
        <v>0</v>
      </c>
      <c r="K51" s="67">
        <f t="shared" si="15"/>
        <v>0</v>
      </c>
      <c r="V51" s="67">
        <f t="shared" si="1"/>
        <v>0</v>
      </c>
    </row>
    <row r="52" spans="1:22" ht="30" x14ac:dyDescent="0.25">
      <c r="A52" t="s">
        <v>169</v>
      </c>
      <c r="B52" s="232" t="s">
        <v>170</v>
      </c>
      <c r="C52" s="103">
        <v>410</v>
      </c>
      <c r="D52" s="67">
        <v>0</v>
      </c>
      <c r="K52" s="67">
        <f t="shared" si="15"/>
        <v>0</v>
      </c>
      <c r="V52" s="67">
        <f t="shared" si="1"/>
        <v>0</v>
      </c>
    </row>
    <row r="53" spans="1:22" x14ac:dyDescent="0.25">
      <c r="A53" t="s">
        <v>174</v>
      </c>
      <c r="B53" s="232" t="s">
        <v>175</v>
      </c>
      <c r="C53" s="103">
        <v>410</v>
      </c>
      <c r="D53" s="67">
        <v>0</v>
      </c>
      <c r="K53" s="67">
        <f t="shared" si="15"/>
        <v>0</v>
      </c>
      <c r="V53" s="67">
        <f t="shared" si="1"/>
        <v>0</v>
      </c>
    </row>
    <row r="54" spans="1:22" x14ac:dyDescent="0.25">
      <c r="A54" t="s">
        <v>176</v>
      </c>
      <c r="B54" s="232" t="s">
        <v>177</v>
      </c>
      <c r="C54" s="103">
        <v>410</v>
      </c>
      <c r="D54" s="67">
        <v>0</v>
      </c>
      <c r="K54" s="67">
        <f t="shared" si="15"/>
        <v>0</v>
      </c>
      <c r="V54" s="67">
        <f t="shared" si="1"/>
        <v>0</v>
      </c>
    </row>
    <row r="55" spans="1:22" ht="30" x14ac:dyDescent="0.25">
      <c r="A55" t="s">
        <v>181</v>
      </c>
      <c r="B55" s="232" t="s">
        <v>182</v>
      </c>
      <c r="C55" s="103">
        <v>410</v>
      </c>
      <c r="D55" s="67">
        <v>50000000</v>
      </c>
      <c r="K55" s="67">
        <f t="shared" si="15"/>
        <v>50000000</v>
      </c>
      <c r="P55">
        <v>30000000</v>
      </c>
      <c r="V55" s="67">
        <f t="shared" si="1"/>
        <v>80000000</v>
      </c>
    </row>
    <row r="56" spans="1:22" ht="30" x14ac:dyDescent="0.25">
      <c r="A56" t="s">
        <v>184</v>
      </c>
      <c r="B56" s="232" t="s">
        <v>185</v>
      </c>
      <c r="C56" s="103">
        <v>410</v>
      </c>
      <c r="D56" s="67">
        <v>55000000</v>
      </c>
      <c r="K56" s="67">
        <f t="shared" si="15"/>
        <v>55000000</v>
      </c>
      <c r="S56">
        <v>5000000</v>
      </c>
      <c r="V56" s="67">
        <f t="shared" si="1"/>
        <v>50000000</v>
      </c>
    </row>
    <row r="57" spans="1:22" ht="30" x14ac:dyDescent="0.25">
      <c r="A57" t="s">
        <v>188</v>
      </c>
      <c r="B57" s="232" t="s">
        <v>189</v>
      </c>
      <c r="C57" s="103">
        <v>410</v>
      </c>
      <c r="D57" s="67">
        <v>40000000</v>
      </c>
      <c r="K57" s="67">
        <f t="shared" si="15"/>
        <v>40000000</v>
      </c>
      <c r="V57" s="67">
        <f t="shared" si="1"/>
        <v>40000000</v>
      </c>
    </row>
    <row r="58" spans="1:22" ht="30" x14ac:dyDescent="0.25">
      <c r="A58" t="s">
        <v>191</v>
      </c>
      <c r="B58" s="232" t="s">
        <v>192</v>
      </c>
      <c r="C58" s="103">
        <v>410</v>
      </c>
      <c r="D58" s="67">
        <v>10000000</v>
      </c>
      <c r="K58" s="67">
        <f t="shared" si="15"/>
        <v>10000000</v>
      </c>
      <c r="V58" s="67">
        <f t="shared" si="1"/>
        <v>10000000</v>
      </c>
    </row>
    <row r="59" spans="1:22" ht="30" x14ac:dyDescent="0.25">
      <c r="A59" t="s">
        <v>194</v>
      </c>
      <c r="B59" s="232" t="s">
        <v>195</v>
      </c>
      <c r="C59" s="103">
        <v>410</v>
      </c>
      <c r="D59" s="67">
        <v>70000000</v>
      </c>
      <c r="H59">
        <v>60000000</v>
      </c>
      <c r="K59" s="67">
        <f t="shared" si="15"/>
        <v>130000000</v>
      </c>
      <c r="V59" s="67">
        <f t="shared" si="1"/>
        <v>130000000</v>
      </c>
    </row>
    <row r="60" spans="1:22" x14ac:dyDescent="0.25">
      <c r="A60" t="s">
        <v>196</v>
      </c>
      <c r="B60" s="232" t="s">
        <v>197</v>
      </c>
      <c r="C60" s="103">
        <v>410</v>
      </c>
      <c r="D60" s="67">
        <v>25000000</v>
      </c>
      <c r="K60" s="67">
        <f t="shared" si="15"/>
        <v>25000000</v>
      </c>
      <c r="V60" s="67">
        <f t="shared" si="1"/>
        <v>25000000</v>
      </c>
    </row>
    <row r="61" spans="1:22" x14ac:dyDescent="0.25">
      <c r="A61" t="s">
        <v>199</v>
      </c>
      <c r="B61" s="232" t="s">
        <v>200</v>
      </c>
      <c r="C61" s="103">
        <v>410</v>
      </c>
      <c r="D61" s="67">
        <v>25000000</v>
      </c>
      <c r="E61">
        <v>127267490</v>
      </c>
      <c r="I61">
        <v>60000000</v>
      </c>
      <c r="K61" s="67">
        <f t="shared" si="15"/>
        <v>92267490</v>
      </c>
      <c r="V61" s="67">
        <f t="shared" si="1"/>
        <v>92267490</v>
      </c>
    </row>
    <row r="62" spans="1:22" ht="30" x14ac:dyDescent="0.25">
      <c r="A62" t="s">
        <v>202</v>
      </c>
      <c r="B62" s="232" t="s">
        <v>203</v>
      </c>
      <c r="C62" s="103">
        <v>410</v>
      </c>
      <c r="D62" s="67">
        <v>20000000</v>
      </c>
      <c r="K62" s="67">
        <f t="shared" si="15"/>
        <v>20000000</v>
      </c>
      <c r="V62" s="67">
        <f t="shared" si="1"/>
        <v>20000000</v>
      </c>
    </row>
    <row r="63" spans="1:22" x14ac:dyDescent="0.25">
      <c r="A63" s="279"/>
      <c r="B63" s="279"/>
      <c r="C63" s="279"/>
      <c r="D63" s="280">
        <f>SUM(D26:D62)</f>
        <v>5874275758</v>
      </c>
      <c r="E63" s="280">
        <f t="shared" ref="E63:L63" si="16">SUM(E26:E62)</f>
        <v>907762871</v>
      </c>
      <c r="F63" s="280">
        <f t="shared" si="16"/>
        <v>32000000</v>
      </c>
      <c r="G63" s="280">
        <f t="shared" si="16"/>
        <v>0</v>
      </c>
      <c r="H63" s="280">
        <f t="shared" si="16"/>
        <v>60000000</v>
      </c>
      <c r="I63" s="280">
        <f t="shared" si="16"/>
        <v>92000000</v>
      </c>
      <c r="J63" s="280">
        <f t="shared" si="16"/>
        <v>0</v>
      </c>
      <c r="K63" s="280">
        <f t="shared" si="16"/>
        <v>6782038629</v>
      </c>
      <c r="L63" s="280">
        <f t="shared" si="16"/>
        <v>5000000</v>
      </c>
      <c r="M63" s="280">
        <f t="shared" ref="M63" si="17">SUM(M26:M62)</f>
        <v>0</v>
      </c>
      <c r="N63" s="280">
        <f>SUM(N26:N62)</f>
        <v>3000000</v>
      </c>
      <c r="O63" s="280">
        <f t="shared" ref="O63:Q63" si="18">SUM(O26:O62)</f>
        <v>0</v>
      </c>
      <c r="P63" s="280">
        <f t="shared" si="18"/>
        <v>137000000</v>
      </c>
      <c r="Q63" s="280">
        <f t="shared" si="18"/>
        <v>104039242</v>
      </c>
      <c r="R63" s="280">
        <f t="shared" ref="R63" si="19">SUM(R26:R62)</f>
        <v>0</v>
      </c>
      <c r="S63" s="280">
        <f t="shared" ref="S63:V63" si="20">SUM(S26:S62)</f>
        <v>5000000</v>
      </c>
      <c r="T63" s="280">
        <f t="shared" si="20"/>
        <v>0</v>
      </c>
      <c r="U63" s="280">
        <f t="shared" si="20"/>
        <v>0</v>
      </c>
      <c r="V63" s="280">
        <f t="shared" si="20"/>
        <v>7026077871</v>
      </c>
    </row>
    <row r="64" spans="1:22" x14ac:dyDescent="0.25">
      <c r="K64" s="67">
        <f t="shared" ref="K64" si="21">(D64+E64+F64)-(G64+H64)</f>
        <v>0</v>
      </c>
      <c r="V64" s="67">
        <f t="shared" si="1"/>
        <v>0</v>
      </c>
    </row>
    <row r="65" spans="1:22" ht="30" x14ac:dyDescent="0.25">
      <c r="A65" t="s">
        <v>209</v>
      </c>
      <c r="B65" s="232" t="s">
        <v>210</v>
      </c>
      <c r="C65">
        <v>520</v>
      </c>
      <c r="D65" s="67">
        <v>162000000</v>
      </c>
      <c r="K65" s="67">
        <f t="shared" ref="K65:K130" si="22">(D65+E65+F65+H65)-(G65+I65)</f>
        <v>162000000</v>
      </c>
      <c r="L65">
        <v>1000000</v>
      </c>
      <c r="R65">
        <v>5000000</v>
      </c>
      <c r="T65">
        <v>2000000</v>
      </c>
      <c r="V65" s="67">
        <f t="shared" si="1"/>
        <v>170000000</v>
      </c>
    </row>
    <row r="66" spans="1:22" x14ac:dyDescent="0.25">
      <c r="A66" t="s">
        <v>212</v>
      </c>
      <c r="B66" s="232" t="s">
        <v>213</v>
      </c>
      <c r="C66">
        <v>520</v>
      </c>
      <c r="D66" s="67">
        <v>7000000</v>
      </c>
      <c r="K66" s="67">
        <f t="shared" si="22"/>
        <v>7000000</v>
      </c>
      <c r="S66">
        <v>5000000</v>
      </c>
      <c r="U66">
        <v>2000000</v>
      </c>
      <c r="V66" s="67">
        <f t="shared" si="1"/>
        <v>0</v>
      </c>
    </row>
    <row r="67" spans="1:22" ht="30" x14ac:dyDescent="0.25">
      <c r="A67" t="s">
        <v>216</v>
      </c>
      <c r="B67" s="232" t="s">
        <v>217</v>
      </c>
      <c r="C67">
        <v>520</v>
      </c>
      <c r="D67" s="67">
        <v>2000000</v>
      </c>
      <c r="K67" s="67">
        <f t="shared" si="22"/>
        <v>2000000</v>
      </c>
      <c r="L67">
        <v>4000000</v>
      </c>
      <c r="V67" s="67">
        <f t="shared" si="1"/>
        <v>6000000</v>
      </c>
    </row>
    <row r="68" spans="1:22" x14ac:dyDescent="0.25">
      <c r="A68" t="s">
        <v>220</v>
      </c>
      <c r="B68" s="232" t="s">
        <v>221</v>
      </c>
      <c r="C68">
        <v>520</v>
      </c>
      <c r="D68" s="67">
        <v>34826876</v>
      </c>
      <c r="K68" s="67">
        <f t="shared" si="22"/>
        <v>34826876</v>
      </c>
      <c r="P68">
        <v>30000000</v>
      </c>
      <c r="S68">
        <v>4826876</v>
      </c>
      <c r="V68" s="67">
        <f t="shared" ref="V68:V130" si="23">(K68+L68+M68+N68+O68+P68+Q68+R68+T68)-(S68+U68)</f>
        <v>60000000</v>
      </c>
    </row>
    <row r="69" spans="1:22" ht="30" x14ac:dyDescent="0.25">
      <c r="A69" t="s">
        <v>224</v>
      </c>
      <c r="B69" s="232" t="s">
        <v>225</v>
      </c>
      <c r="C69">
        <v>520</v>
      </c>
      <c r="D69" s="67">
        <v>130000000</v>
      </c>
      <c r="I69">
        <v>110000000</v>
      </c>
      <c r="K69" s="67">
        <f t="shared" si="22"/>
        <v>20000000</v>
      </c>
      <c r="V69" s="67">
        <f t="shared" si="23"/>
        <v>20000000</v>
      </c>
    </row>
    <row r="70" spans="1:22" ht="30" x14ac:dyDescent="0.25">
      <c r="A70" t="s">
        <v>227</v>
      </c>
      <c r="B70" s="232" t="s">
        <v>228</v>
      </c>
      <c r="C70">
        <v>520</v>
      </c>
      <c r="D70" s="67">
        <v>1000000000</v>
      </c>
      <c r="E70">
        <v>18432040</v>
      </c>
      <c r="K70" s="67">
        <f t="shared" si="22"/>
        <v>1018432040</v>
      </c>
      <c r="L70">
        <v>12000000</v>
      </c>
      <c r="V70" s="67">
        <f t="shared" si="23"/>
        <v>1030432040</v>
      </c>
    </row>
    <row r="71" spans="1:22" x14ac:dyDescent="0.25">
      <c r="A71" t="s">
        <v>229</v>
      </c>
      <c r="B71" s="232" t="s">
        <v>230</v>
      </c>
      <c r="C71">
        <v>520</v>
      </c>
      <c r="D71" s="67">
        <v>94000000</v>
      </c>
      <c r="H71">
        <v>110000000</v>
      </c>
      <c r="K71" s="67">
        <f t="shared" si="22"/>
        <v>204000000</v>
      </c>
      <c r="N71">
        <v>1000000</v>
      </c>
      <c r="V71" s="67">
        <f t="shared" si="23"/>
        <v>205000000</v>
      </c>
    </row>
    <row r="72" spans="1:22" x14ac:dyDescent="0.25">
      <c r="A72" t="s">
        <v>233</v>
      </c>
      <c r="B72" s="232" t="s">
        <v>234</v>
      </c>
      <c r="C72">
        <v>520</v>
      </c>
      <c r="D72" s="67">
        <v>10000000</v>
      </c>
      <c r="K72" s="67">
        <f t="shared" si="22"/>
        <v>10000000</v>
      </c>
      <c r="N72">
        <v>4500000</v>
      </c>
      <c r="V72" s="67">
        <f t="shared" si="23"/>
        <v>14500000</v>
      </c>
    </row>
    <row r="73" spans="1:22" x14ac:dyDescent="0.25">
      <c r="A73" t="s">
        <v>235</v>
      </c>
      <c r="B73" s="232" t="s">
        <v>236</v>
      </c>
      <c r="C73">
        <v>520</v>
      </c>
      <c r="D73" s="67">
        <v>11500000</v>
      </c>
      <c r="K73" s="67">
        <f t="shared" si="22"/>
        <v>11500000</v>
      </c>
      <c r="V73" s="67">
        <f t="shared" si="23"/>
        <v>11500000</v>
      </c>
    </row>
    <row r="74" spans="1:22" x14ac:dyDescent="0.25">
      <c r="A74" t="s">
        <v>237</v>
      </c>
      <c r="B74" s="232" t="s">
        <v>238</v>
      </c>
      <c r="C74">
        <v>520</v>
      </c>
      <c r="D74" s="67">
        <v>293084973</v>
      </c>
      <c r="F74">
        <v>1000000</v>
      </c>
      <c r="K74" s="67">
        <f t="shared" si="22"/>
        <v>294084973</v>
      </c>
      <c r="L74">
        <v>30000000</v>
      </c>
      <c r="N74">
        <v>105550536</v>
      </c>
      <c r="V74" s="67">
        <f t="shared" si="23"/>
        <v>429635509</v>
      </c>
    </row>
    <row r="75" spans="1:22" ht="30" x14ac:dyDescent="0.25">
      <c r="A75" t="s">
        <v>240</v>
      </c>
      <c r="B75" s="232" t="s">
        <v>241</v>
      </c>
      <c r="C75">
        <v>520</v>
      </c>
      <c r="D75" s="67">
        <v>0</v>
      </c>
      <c r="K75" s="67">
        <f t="shared" si="22"/>
        <v>0</v>
      </c>
      <c r="V75" s="67">
        <f t="shared" si="23"/>
        <v>0</v>
      </c>
    </row>
    <row r="76" spans="1:22" ht="30" x14ac:dyDescent="0.25">
      <c r="A76" t="s">
        <v>242</v>
      </c>
      <c r="B76" s="232" t="s">
        <v>243</v>
      </c>
      <c r="C76">
        <v>520</v>
      </c>
      <c r="D76" s="67">
        <v>0</v>
      </c>
      <c r="K76" s="67">
        <f t="shared" si="22"/>
        <v>0</v>
      </c>
      <c r="V76" s="67">
        <f t="shared" si="23"/>
        <v>0</v>
      </c>
    </row>
    <row r="77" spans="1:22" ht="30" x14ac:dyDescent="0.25">
      <c r="A77" t="s">
        <v>245</v>
      </c>
      <c r="B77" s="232" t="s">
        <v>246</v>
      </c>
      <c r="C77">
        <v>520</v>
      </c>
      <c r="D77" s="67">
        <v>30000000</v>
      </c>
      <c r="K77" s="67">
        <f t="shared" si="22"/>
        <v>30000000</v>
      </c>
      <c r="V77" s="67">
        <f t="shared" si="23"/>
        <v>30000000</v>
      </c>
    </row>
    <row r="78" spans="1:22" x14ac:dyDescent="0.25">
      <c r="A78" t="s">
        <v>766</v>
      </c>
      <c r="B78" s="232" t="s">
        <v>767</v>
      </c>
      <c r="C78">
        <v>520</v>
      </c>
      <c r="D78" s="67">
        <v>0</v>
      </c>
      <c r="K78" s="67">
        <f t="shared" si="22"/>
        <v>0</v>
      </c>
      <c r="V78" s="67">
        <f t="shared" si="23"/>
        <v>0</v>
      </c>
    </row>
    <row r="79" spans="1:22" ht="30" x14ac:dyDescent="0.25">
      <c r="A79" t="s">
        <v>768</v>
      </c>
      <c r="B79" s="232" t="s">
        <v>769</v>
      </c>
      <c r="C79">
        <v>520</v>
      </c>
      <c r="D79" s="67">
        <v>0</v>
      </c>
      <c r="K79" s="67">
        <f t="shared" si="22"/>
        <v>0</v>
      </c>
      <c r="V79" s="67">
        <f t="shared" si="23"/>
        <v>0</v>
      </c>
    </row>
    <row r="80" spans="1:22" x14ac:dyDescent="0.25">
      <c r="A80" t="s">
        <v>770</v>
      </c>
      <c r="B80" s="232" t="s">
        <v>771</v>
      </c>
      <c r="C80">
        <v>520</v>
      </c>
      <c r="D80" s="67">
        <v>0</v>
      </c>
      <c r="K80" s="67">
        <f t="shared" si="22"/>
        <v>0</v>
      </c>
      <c r="V80" s="67">
        <f t="shared" si="23"/>
        <v>0</v>
      </c>
    </row>
    <row r="81" spans="1:22" x14ac:dyDescent="0.25">
      <c r="A81" t="s">
        <v>772</v>
      </c>
      <c r="B81" s="232" t="s">
        <v>773</v>
      </c>
      <c r="C81">
        <v>520</v>
      </c>
      <c r="D81" s="67">
        <v>0</v>
      </c>
      <c r="K81" s="67">
        <f t="shared" si="22"/>
        <v>0</v>
      </c>
      <c r="V81" s="67">
        <f t="shared" si="23"/>
        <v>0</v>
      </c>
    </row>
    <row r="82" spans="1:22" x14ac:dyDescent="0.25">
      <c r="A82" t="s">
        <v>774</v>
      </c>
      <c r="B82" s="232" t="s">
        <v>775</v>
      </c>
      <c r="C82">
        <v>520</v>
      </c>
      <c r="D82" s="67">
        <v>0</v>
      </c>
      <c r="K82" s="67">
        <f t="shared" si="22"/>
        <v>0</v>
      </c>
      <c r="V82" s="67">
        <f t="shared" si="23"/>
        <v>0</v>
      </c>
    </row>
    <row r="83" spans="1:22" ht="30" x14ac:dyDescent="0.25">
      <c r="A83" t="s">
        <v>248</v>
      </c>
      <c r="B83" s="232" t="s">
        <v>249</v>
      </c>
      <c r="C83">
        <v>520</v>
      </c>
      <c r="D83" s="67">
        <v>10000000</v>
      </c>
      <c r="K83" s="67">
        <f t="shared" si="22"/>
        <v>10000000</v>
      </c>
      <c r="V83" s="67">
        <f t="shared" si="23"/>
        <v>10000000</v>
      </c>
    </row>
    <row r="84" spans="1:22" ht="30" x14ac:dyDescent="0.25">
      <c r="A84" t="s">
        <v>250</v>
      </c>
      <c r="B84" s="232" t="s">
        <v>251</v>
      </c>
      <c r="C84">
        <v>520</v>
      </c>
      <c r="D84" s="67">
        <v>10000000</v>
      </c>
      <c r="K84" s="67">
        <f t="shared" si="22"/>
        <v>10000000</v>
      </c>
      <c r="V84" s="67">
        <f t="shared" si="23"/>
        <v>10000000</v>
      </c>
    </row>
    <row r="85" spans="1:22" x14ac:dyDescent="0.25">
      <c r="A85" t="s">
        <v>414</v>
      </c>
      <c r="B85" s="270" t="s">
        <v>825</v>
      </c>
      <c r="C85">
        <v>520</v>
      </c>
      <c r="D85" s="67"/>
      <c r="K85" s="67"/>
      <c r="R85">
        <v>4826876</v>
      </c>
      <c r="V85" s="67">
        <f t="shared" si="23"/>
        <v>4826876</v>
      </c>
    </row>
    <row r="86" spans="1:22" x14ac:dyDescent="0.25">
      <c r="A86" t="s">
        <v>253</v>
      </c>
      <c r="B86" s="232" t="s">
        <v>254</v>
      </c>
      <c r="C86">
        <v>520</v>
      </c>
      <c r="D86" s="67">
        <v>20000000</v>
      </c>
      <c r="K86" s="67">
        <f t="shared" si="22"/>
        <v>20000000</v>
      </c>
      <c r="V86" s="67">
        <f t="shared" si="23"/>
        <v>20000000</v>
      </c>
    </row>
    <row r="87" spans="1:22" ht="30" x14ac:dyDescent="0.25">
      <c r="A87" t="s">
        <v>255</v>
      </c>
      <c r="B87" s="232" t="s">
        <v>256</v>
      </c>
      <c r="C87">
        <v>520</v>
      </c>
      <c r="D87" s="67">
        <v>0</v>
      </c>
      <c r="K87" s="67">
        <f t="shared" si="22"/>
        <v>0</v>
      </c>
      <c r="V87" s="67">
        <f t="shared" si="23"/>
        <v>0</v>
      </c>
    </row>
    <row r="88" spans="1:22" x14ac:dyDescent="0.25">
      <c r="A88" t="s">
        <v>257</v>
      </c>
      <c r="B88" s="232" t="s">
        <v>258</v>
      </c>
      <c r="C88">
        <v>520</v>
      </c>
      <c r="D88" s="67">
        <v>0</v>
      </c>
      <c r="K88" s="67">
        <f t="shared" si="22"/>
        <v>0</v>
      </c>
      <c r="V88" s="67">
        <f t="shared" si="23"/>
        <v>0</v>
      </c>
    </row>
    <row r="89" spans="1:22" x14ac:dyDescent="0.25">
      <c r="A89" t="s">
        <v>259</v>
      </c>
      <c r="B89" s="232" t="s">
        <v>254</v>
      </c>
      <c r="C89">
        <v>520</v>
      </c>
      <c r="D89" s="67">
        <v>0</v>
      </c>
      <c r="K89" s="67">
        <f t="shared" si="22"/>
        <v>0</v>
      </c>
      <c r="V89" s="67">
        <f t="shared" si="23"/>
        <v>0</v>
      </c>
    </row>
    <row r="90" spans="1:22" ht="30" x14ac:dyDescent="0.25">
      <c r="A90" t="s">
        <v>261</v>
      </c>
      <c r="B90" s="232" t="s">
        <v>262</v>
      </c>
      <c r="C90">
        <v>520</v>
      </c>
      <c r="D90" s="67">
        <v>5000000</v>
      </c>
      <c r="K90" s="67">
        <f t="shared" si="22"/>
        <v>5000000</v>
      </c>
      <c r="V90" s="67">
        <f t="shared" si="23"/>
        <v>5000000</v>
      </c>
    </row>
    <row r="91" spans="1:22" ht="30" x14ac:dyDescent="0.25">
      <c r="A91" t="s">
        <v>263</v>
      </c>
      <c r="B91" s="232" t="s">
        <v>264</v>
      </c>
      <c r="C91">
        <v>520</v>
      </c>
      <c r="D91" s="67">
        <v>5000000</v>
      </c>
      <c r="K91" s="67">
        <f t="shared" si="22"/>
        <v>5000000</v>
      </c>
      <c r="V91" s="67">
        <f t="shared" si="23"/>
        <v>5000000</v>
      </c>
    </row>
    <row r="92" spans="1:22" x14ac:dyDescent="0.25">
      <c r="A92" t="s">
        <v>267</v>
      </c>
      <c r="B92" s="232" t="s">
        <v>268</v>
      </c>
      <c r="C92">
        <v>520</v>
      </c>
      <c r="D92" s="67">
        <v>6000000</v>
      </c>
      <c r="K92" s="67">
        <f t="shared" si="22"/>
        <v>6000000</v>
      </c>
      <c r="V92" s="67">
        <f t="shared" si="23"/>
        <v>6000000</v>
      </c>
    </row>
    <row r="93" spans="1:22" ht="30" x14ac:dyDescent="0.25">
      <c r="A93" t="s">
        <v>270</v>
      </c>
      <c r="B93" s="232" t="s">
        <v>271</v>
      </c>
      <c r="C93">
        <v>520</v>
      </c>
      <c r="D93" s="67">
        <v>6000000</v>
      </c>
      <c r="K93" s="67">
        <f t="shared" si="22"/>
        <v>6000000</v>
      </c>
      <c r="V93" s="67">
        <f t="shared" si="23"/>
        <v>6000000</v>
      </c>
    </row>
    <row r="94" spans="1:22" x14ac:dyDescent="0.25">
      <c r="A94" t="s">
        <v>272</v>
      </c>
      <c r="B94" s="232" t="s">
        <v>273</v>
      </c>
      <c r="C94">
        <v>520</v>
      </c>
      <c r="D94" s="67">
        <v>200000000</v>
      </c>
      <c r="K94" s="67">
        <f t="shared" si="22"/>
        <v>200000000</v>
      </c>
      <c r="N94">
        <v>3000000</v>
      </c>
      <c r="V94" s="67">
        <f t="shared" si="23"/>
        <v>203000000</v>
      </c>
    </row>
    <row r="95" spans="1:22" x14ac:dyDescent="0.25">
      <c r="A95" t="s">
        <v>275</v>
      </c>
      <c r="B95" s="232" t="s">
        <v>276</v>
      </c>
      <c r="C95">
        <v>520</v>
      </c>
      <c r="D95" s="67">
        <v>22029791</v>
      </c>
      <c r="K95" s="67">
        <f t="shared" si="22"/>
        <v>22029791</v>
      </c>
      <c r="N95">
        <v>11937798</v>
      </c>
      <c r="V95" s="67">
        <f t="shared" si="23"/>
        <v>33967589</v>
      </c>
    </row>
    <row r="96" spans="1:22" x14ac:dyDescent="0.25">
      <c r="A96" s="279"/>
      <c r="B96" s="279"/>
      <c r="C96" s="279"/>
      <c r="D96" s="280">
        <f t="shared" ref="D96:K96" si="24">SUM(D65:D95)</f>
        <v>2058441640</v>
      </c>
      <c r="E96" s="280">
        <f t="shared" si="24"/>
        <v>18432040</v>
      </c>
      <c r="F96" s="280">
        <f t="shared" si="24"/>
        <v>1000000</v>
      </c>
      <c r="G96" s="280">
        <f t="shared" si="24"/>
        <v>0</v>
      </c>
      <c r="H96" s="280">
        <f t="shared" si="24"/>
        <v>110000000</v>
      </c>
      <c r="I96" s="280">
        <f t="shared" si="24"/>
        <v>110000000</v>
      </c>
      <c r="J96" s="280">
        <f t="shared" si="24"/>
        <v>0</v>
      </c>
      <c r="K96" s="280">
        <f t="shared" si="24"/>
        <v>2077873680</v>
      </c>
      <c r="L96" s="280">
        <f t="shared" ref="L96:M96" si="25">SUM(L64:L95)</f>
        <v>47000000</v>
      </c>
      <c r="M96" s="280">
        <f t="shared" si="25"/>
        <v>0</v>
      </c>
      <c r="N96" s="280">
        <f>SUM(N64:N95)</f>
        <v>125988334</v>
      </c>
      <c r="O96" s="280">
        <f t="shared" ref="O96:Q96" si="26">SUM(O64:O95)</f>
        <v>0</v>
      </c>
      <c r="P96" s="280">
        <f t="shared" si="26"/>
        <v>30000000</v>
      </c>
      <c r="Q96" s="280">
        <f t="shared" si="26"/>
        <v>0</v>
      </c>
      <c r="R96" s="280">
        <f t="shared" ref="R96" si="27">SUM(R64:R95)</f>
        <v>9826876</v>
      </c>
      <c r="S96" s="280">
        <f t="shared" ref="S96" si="28">SUM(S64:S95)</f>
        <v>9826876</v>
      </c>
      <c r="T96" s="280">
        <f t="shared" ref="T96" si="29">SUM(T64:T95)</f>
        <v>2000000</v>
      </c>
      <c r="U96" s="280">
        <f t="shared" ref="U96:V96" si="30">SUM(U64:U95)</f>
        <v>2000000</v>
      </c>
      <c r="V96" s="280">
        <f t="shared" si="30"/>
        <v>2280862014</v>
      </c>
    </row>
    <row r="97" spans="1:22" x14ac:dyDescent="0.25">
      <c r="A97" s="228" t="s">
        <v>283</v>
      </c>
      <c r="B97" s="2" t="s">
        <v>284</v>
      </c>
      <c r="C97" s="227">
        <v>301</v>
      </c>
      <c r="D97" s="67">
        <v>95000000</v>
      </c>
      <c r="K97" s="67">
        <f t="shared" si="22"/>
        <v>95000000</v>
      </c>
      <c r="V97" s="67">
        <f t="shared" si="23"/>
        <v>95000000</v>
      </c>
    </row>
    <row r="98" spans="1:22" x14ac:dyDescent="0.25">
      <c r="A98" s="228" t="s">
        <v>287</v>
      </c>
      <c r="B98" s="2" t="s">
        <v>288</v>
      </c>
      <c r="C98" s="227">
        <v>301</v>
      </c>
      <c r="D98" s="67">
        <v>70000000</v>
      </c>
      <c r="K98" s="67">
        <f t="shared" si="22"/>
        <v>70000000</v>
      </c>
      <c r="V98" s="67">
        <f t="shared" si="23"/>
        <v>70000000</v>
      </c>
    </row>
    <row r="99" spans="1:22" x14ac:dyDescent="0.25">
      <c r="A99" s="228" t="s">
        <v>289</v>
      </c>
      <c r="B99" s="2" t="s">
        <v>290</v>
      </c>
      <c r="C99" s="227">
        <v>301</v>
      </c>
      <c r="D99" s="67">
        <v>45000000</v>
      </c>
      <c r="K99" s="67">
        <f t="shared" si="22"/>
        <v>45000000</v>
      </c>
      <c r="V99" s="67">
        <f t="shared" si="23"/>
        <v>45000000</v>
      </c>
    </row>
    <row r="100" spans="1:22" ht="30" x14ac:dyDescent="0.25">
      <c r="A100" s="228" t="s">
        <v>291</v>
      </c>
      <c r="B100" s="2" t="s">
        <v>292</v>
      </c>
      <c r="C100" s="227">
        <v>301</v>
      </c>
      <c r="D100" s="67">
        <v>2000000</v>
      </c>
      <c r="K100" s="67">
        <f t="shared" si="22"/>
        <v>2000000</v>
      </c>
      <c r="N100">
        <v>5000000</v>
      </c>
      <c r="V100" s="67">
        <f t="shared" si="23"/>
        <v>7000000</v>
      </c>
    </row>
    <row r="101" spans="1:22" x14ac:dyDescent="0.25">
      <c r="A101" s="228" t="s">
        <v>294</v>
      </c>
      <c r="B101" s="2" t="s">
        <v>415</v>
      </c>
      <c r="C101" s="227">
        <v>301</v>
      </c>
      <c r="D101" s="67">
        <v>35000000</v>
      </c>
      <c r="K101" s="67">
        <f t="shared" si="22"/>
        <v>35000000</v>
      </c>
      <c r="V101" s="67">
        <f t="shared" si="23"/>
        <v>35000000</v>
      </c>
    </row>
    <row r="102" spans="1:22" x14ac:dyDescent="0.25">
      <c r="A102" s="228" t="s">
        <v>296</v>
      </c>
      <c r="B102" s="2" t="s">
        <v>297</v>
      </c>
      <c r="C102" s="227">
        <v>301</v>
      </c>
      <c r="D102" s="67">
        <v>140000000</v>
      </c>
      <c r="K102" s="67">
        <f t="shared" si="22"/>
        <v>140000000</v>
      </c>
      <c r="V102" s="67">
        <f t="shared" si="23"/>
        <v>140000000</v>
      </c>
    </row>
    <row r="103" spans="1:22" ht="30" x14ac:dyDescent="0.25">
      <c r="A103" s="228" t="s">
        <v>299</v>
      </c>
      <c r="B103" s="2" t="s">
        <v>300</v>
      </c>
      <c r="C103" s="227">
        <v>301</v>
      </c>
      <c r="D103" s="67">
        <v>29955000</v>
      </c>
      <c r="K103" s="67">
        <f t="shared" si="22"/>
        <v>29955000</v>
      </c>
      <c r="V103" s="67">
        <f t="shared" si="23"/>
        <v>29955000</v>
      </c>
    </row>
    <row r="104" spans="1:22" ht="30" x14ac:dyDescent="0.25">
      <c r="A104" s="228" t="s">
        <v>737</v>
      </c>
      <c r="B104" s="2" t="s">
        <v>300</v>
      </c>
      <c r="C104" s="227">
        <v>301</v>
      </c>
      <c r="D104" s="67">
        <v>0</v>
      </c>
      <c r="K104" s="67">
        <f t="shared" si="22"/>
        <v>0</v>
      </c>
      <c r="V104" s="67">
        <f t="shared" si="23"/>
        <v>0</v>
      </c>
    </row>
    <row r="105" spans="1:22" x14ac:dyDescent="0.25">
      <c r="A105" s="230" t="s">
        <v>306</v>
      </c>
      <c r="B105" s="2" t="s">
        <v>307</v>
      </c>
      <c r="C105" s="229">
        <v>301</v>
      </c>
      <c r="D105" s="67">
        <v>300000000</v>
      </c>
      <c r="E105">
        <v>115000000</v>
      </c>
      <c r="K105" s="67">
        <f t="shared" si="22"/>
        <v>415000000</v>
      </c>
      <c r="N105">
        <v>1000000</v>
      </c>
      <c r="V105" s="67">
        <f t="shared" si="23"/>
        <v>416000000</v>
      </c>
    </row>
    <row r="106" spans="1:22" x14ac:dyDescent="0.25">
      <c r="A106" s="228" t="s">
        <v>310</v>
      </c>
      <c r="B106" s="2" t="s">
        <v>786</v>
      </c>
      <c r="C106" s="227">
        <v>301</v>
      </c>
      <c r="D106" s="67">
        <v>293000000</v>
      </c>
      <c r="E106">
        <v>115450000</v>
      </c>
      <c r="K106" s="67">
        <f t="shared" si="22"/>
        <v>408450000</v>
      </c>
      <c r="N106">
        <v>2098971</v>
      </c>
      <c r="V106" s="67">
        <f t="shared" si="23"/>
        <v>410548971</v>
      </c>
    </row>
    <row r="107" spans="1:22" ht="30" x14ac:dyDescent="0.25">
      <c r="A107" s="228" t="s">
        <v>316</v>
      </c>
      <c r="B107" s="2" t="s">
        <v>317</v>
      </c>
      <c r="C107" s="227">
        <v>301</v>
      </c>
      <c r="D107" s="67">
        <v>71564035</v>
      </c>
      <c r="F107">
        <v>4901190</v>
      </c>
      <c r="K107" s="67">
        <f t="shared" si="22"/>
        <v>76465225</v>
      </c>
      <c r="L107">
        <v>5000000</v>
      </c>
      <c r="M107">
        <v>5500000</v>
      </c>
      <c r="N107">
        <v>4200000</v>
      </c>
      <c r="V107" s="67">
        <f t="shared" si="23"/>
        <v>91165225</v>
      </c>
    </row>
    <row r="108" spans="1:22" x14ac:dyDescent="0.25">
      <c r="A108" s="228" t="s">
        <v>321</v>
      </c>
      <c r="B108" s="2" t="s">
        <v>787</v>
      </c>
      <c r="C108" s="227">
        <v>301</v>
      </c>
      <c r="D108" s="67">
        <v>1398000000</v>
      </c>
      <c r="E108">
        <f>26578511+6859058</f>
        <v>33437569</v>
      </c>
      <c r="K108" s="67">
        <f t="shared" si="22"/>
        <v>1431437569</v>
      </c>
      <c r="V108" s="67">
        <f t="shared" si="23"/>
        <v>1431437569</v>
      </c>
    </row>
    <row r="109" spans="1:22" ht="30" x14ac:dyDescent="0.25">
      <c r="A109" s="228" t="s">
        <v>325</v>
      </c>
      <c r="B109" s="2" t="s">
        <v>326</v>
      </c>
      <c r="C109" s="227">
        <v>301</v>
      </c>
      <c r="D109" s="67">
        <v>30000000</v>
      </c>
      <c r="K109" s="67">
        <f t="shared" si="22"/>
        <v>30000000</v>
      </c>
      <c r="V109" s="67">
        <f t="shared" si="23"/>
        <v>30000000</v>
      </c>
    </row>
    <row r="110" spans="1:22" x14ac:dyDescent="0.25">
      <c r="A110" s="228" t="s">
        <v>328</v>
      </c>
      <c r="B110" s="2" t="s">
        <v>329</v>
      </c>
      <c r="C110" s="55">
        <v>301</v>
      </c>
      <c r="D110" s="67">
        <v>84000000</v>
      </c>
      <c r="K110" s="67">
        <f t="shared" si="22"/>
        <v>84000000</v>
      </c>
      <c r="N110">
        <v>1000000</v>
      </c>
      <c r="V110" s="67">
        <f t="shared" si="23"/>
        <v>85000000</v>
      </c>
    </row>
    <row r="111" spans="1:22" x14ac:dyDescent="0.25">
      <c r="A111" s="228" t="s">
        <v>331</v>
      </c>
      <c r="B111" s="2" t="s">
        <v>332</v>
      </c>
      <c r="C111" s="55">
        <v>301</v>
      </c>
      <c r="D111" s="67">
        <v>50000000</v>
      </c>
      <c r="K111" s="67">
        <f t="shared" si="22"/>
        <v>50000000</v>
      </c>
      <c r="V111" s="67">
        <f t="shared" si="23"/>
        <v>50000000</v>
      </c>
    </row>
    <row r="112" spans="1:22" x14ac:dyDescent="0.25">
      <c r="A112" s="279"/>
      <c r="B112" s="279"/>
      <c r="C112" s="279"/>
      <c r="D112" s="280">
        <f>SUM(D97:D111)</f>
        <v>2643519035</v>
      </c>
      <c r="E112" s="280">
        <f t="shared" ref="E112:N112" si="31">SUM(E97:E111)</f>
        <v>263887569</v>
      </c>
      <c r="F112" s="280">
        <f t="shared" si="31"/>
        <v>4901190</v>
      </c>
      <c r="G112" s="280">
        <f t="shared" si="31"/>
        <v>0</v>
      </c>
      <c r="H112" s="280">
        <f t="shared" si="31"/>
        <v>0</v>
      </c>
      <c r="I112" s="280">
        <f t="shared" si="31"/>
        <v>0</v>
      </c>
      <c r="J112" s="280">
        <f t="shared" si="31"/>
        <v>0</v>
      </c>
      <c r="K112" s="280">
        <f t="shared" si="31"/>
        <v>2912307794</v>
      </c>
      <c r="L112" s="280">
        <f t="shared" si="31"/>
        <v>5000000</v>
      </c>
      <c r="M112" s="280">
        <f t="shared" si="31"/>
        <v>5500000</v>
      </c>
      <c r="N112" s="280">
        <f t="shared" si="31"/>
        <v>13298971</v>
      </c>
      <c r="O112" s="280">
        <f t="shared" ref="O112" si="32">SUM(O97:O111)</f>
        <v>0</v>
      </c>
      <c r="P112" s="280">
        <f t="shared" ref="P112:Q112" si="33">SUM(P97:P111)</f>
        <v>0</v>
      </c>
      <c r="Q112" s="280">
        <f t="shared" si="33"/>
        <v>0</v>
      </c>
      <c r="R112" s="280">
        <f t="shared" ref="R112" si="34">SUM(R97:R111)</f>
        <v>0</v>
      </c>
      <c r="S112" s="280">
        <f t="shared" ref="S112" si="35">SUM(S97:S111)</f>
        <v>0</v>
      </c>
      <c r="T112" s="280">
        <f t="shared" ref="T112" si="36">SUM(T97:T111)</f>
        <v>0</v>
      </c>
      <c r="U112" s="280">
        <f t="shared" ref="U112:V112" si="37">SUM(U97:U111)</f>
        <v>0</v>
      </c>
      <c r="V112" s="280">
        <f t="shared" si="37"/>
        <v>2936106765</v>
      </c>
    </row>
    <row r="113" spans="1:22" s="28" customFormat="1" ht="30" x14ac:dyDescent="0.25">
      <c r="A113" s="282" t="s">
        <v>819</v>
      </c>
      <c r="B113" s="285" t="s">
        <v>210</v>
      </c>
      <c r="C113" s="28">
        <v>510</v>
      </c>
      <c r="D113" s="281"/>
      <c r="E113" s="281"/>
      <c r="F113" s="281"/>
      <c r="G113" s="281"/>
      <c r="H113" s="281"/>
      <c r="I113" s="281"/>
      <c r="J113" s="281"/>
      <c r="K113" s="281"/>
      <c r="L113" s="281"/>
      <c r="M113" s="281"/>
      <c r="N113" s="281">
        <v>1500000</v>
      </c>
      <c r="V113" s="67">
        <f t="shared" si="23"/>
        <v>1500000</v>
      </c>
    </row>
    <row r="114" spans="1:22" x14ac:dyDescent="0.25">
      <c r="A114" s="228" t="s">
        <v>336</v>
      </c>
      <c r="B114" s="2" t="s">
        <v>337</v>
      </c>
      <c r="C114">
        <v>111</v>
      </c>
      <c r="D114" s="67">
        <v>0</v>
      </c>
      <c r="E114" s="67"/>
      <c r="F114" s="67">
        <v>1028515825</v>
      </c>
      <c r="G114" s="67"/>
      <c r="H114" s="67"/>
      <c r="I114" s="67"/>
      <c r="J114" s="67"/>
      <c r="K114" s="67">
        <f t="shared" si="22"/>
        <v>1028515825</v>
      </c>
      <c r="O114">
        <v>153485735</v>
      </c>
      <c r="U114">
        <v>227543349</v>
      </c>
      <c r="V114" s="67">
        <f t="shared" si="23"/>
        <v>954458211</v>
      </c>
    </row>
    <row r="115" spans="1:22" x14ac:dyDescent="0.25">
      <c r="A115" s="23" t="s">
        <v>338</v>
      </c>
      <c r="B115" s="2" t="s">
        <v>339</v>
      </c>
      <c r="C115">
        <v>111</v>
      </c>
      <c r="D115" s="67">
        <v>231441728</v>
      </c>
      <c r="E115" s="67">
        <f>6840985+30665828+12004716+665649946+100000000</f>
        <v>815161475</v>
      </c>
      <c r="F115" s="67"/>
      <c r="G115" s="67"/>
      <c r="H115" s="67"/>
      <c r="I115" s="67"/>
      <c r="J115" s="67"/>
      <c r="K115" s="67">
        <f t="shared" si="22"/>
        <v>1046603203</v>
      </c>
      <c r="L115">
        <v>4000000</v>
      </c>
      <c r="N115">
        <v>3000000</v>
      </c>
      <c r="P115">
        <v>100000000</v>
      </c>
      <c r="T115">
        <v>227543349</v>
      </c>
      <c r="V115" s="67">
        <f t="shared" si="23"/>
        <v>1381146552</v>
      </c>
    </row>
    <row r="116" spans="1:22" x14ac:dyDescent="0.25">
      <c r="A116" s="228" t="s">
        <v>341</v>
      </c>
      <c r="B116" s="2" t="s">
        <v>342</v>
      </c>
      <c r="C116">
        <v>111</v>
      </c>
      <c r="D116" s="67">
        <v>0</v>
      </c>
      <c r="E116" s="67"/>
      <c r="F116" s="67"/>
      <c r="G116" s="67"/>
      <c r="H116" s="67"/>
      <c r="I116" s="67"/>
      <c r="J116" s="67"/>
      <c r="K116" s="67">
        <f t="shared" si="22"/>
        <v>0</v>
      </c>
      <c r="V116" s="67">
        <f t="shared" si="23"/>
        <v>0</v>
      </c>
    </row>
    <row r="117" spans="1:22" ht="30" x14ac:dyDescent="0.25">
      <c r="A117" s="228" t="s">
        <v>345</v>
      </c>
      <c r="B117" s="2" t="s">
        <v>346</v>
      </c>
      <c r="C117">
        <v>211</v>
      </c>
      <c r="D117" s="67">
        <v>394883013</v>
      </c>
      <c r="E117" s="67">
        <f>135153822+1940856+815752314</f>
        <v>952846992</v>
      </c>
      <c r="F117" s="67"/>
      <c r="G117" s="67"/>
      <c r="H117" s="67"/>
      <c r="I117" s="67"/>
      <c r="J117" s="67"/>
      <c r="K117" s="67">
        <f t="shared" si="22"/>
        <v>1347730005</v>
      </c>
      <c r="V117" s="67">
        <f t="shared" si="23"/>
        <v>1347730005</v>
      </c>
    </row>
    <row r="118" spans="1:22" x14ac:dyDescent="0.25">
      <c r="A118" s="228" t="s">
        <v>349</v>
      </c>
      <c r="B118" s="40" t="s">
        <v>350</v>
      </c>
      <c r="C118">
        <v>211</v>
      </c>
      <c r="D118" s="67">
        <v>355787227</v>
      </c>
      <c r="E118" s="67"/>
      <c r="F118" s="67"/>
      <c r="G118" s="67"/>
      <c r="H118" s="67"/>
      <c r="I118" s="67"/>
      <c r="J118" s="67"/>
      <c r="K118" s="67">
        <f t="shared" si="22"/>
        <v>355787227</v>
      </c>
      <c r="L118">
        <v>16338076</v>
      </c>
      <c r="M118">
        <v>3095452</v>
      </c>
      <c r="N118">
        <v>24000000</v>
      </c>
      <c r="P118">
        <v>157081606</v>
      </c>
      <c r="V118" s="67">
        <f t="shared" si="23"/>
        <v>556302361</v>
      </c>
    </row>
    <row r="119" spans="1:22" x14ac:dyDescent="0.25">
      <c r="A119" s="23" t="s">
        <v>352</v>
      </c>
      <c r="B119" s="2" t="s">
        <v>353</v>
      </c>
      <c r="C119">
        <v>211</v>
      </c>
      <c r="D119" s="67">
        <v>260641061</v>
      </c>
      <c r="E119" s="67"/>
      <c r="F119" s="67">
        <f>1325109+10267</f>
        <v>1335376</v>
      </c>
      <c r="G119" s="67"/>
      <c r="H119" s="67"/>
      <c r="I119" s="67"/>
      <c r="J119" s="67"/>
      <c r="K119" s="67">
        <f t="shared" si="22"/>
        <v>261976437</v>
      </c>
      <c r="L119">
        <v>19384428</v>
      </c>
      <c r="M119">
        <v>505024</v>
      </c>
      <c r="N119">
        <v>15468663</v>
      </c>
      <c r="V119" s="67">
        <f t="shared" si="23"/>
        <v>297334552</v>
      </c>
    </row>
    <row r="120" spans="1:22" ht="30" x14ac:dyDescent="0.25">
      <c r="A120" s="228" t="s">
        <v>355</v>
      </c>
      <c r="B120" s="59" t="s">
        <v>356</v>
      </c>
      <c r="C120">
        <v>211</v>
      </c>
      <c r="D120" s="67">
        <v>3000000</v>
      </c>
      <c r="E120" s="67">
        <v>200000000</v>
      </c>
      <c r="F120" s="67"/>
      <c r="G120" s="67"/>
      <c r="H120" s="67"/>
      <c r="I120" s="67"/>
      <c r="J120" s="67"/>
      <c r="K120" s="67">
        <f t="shared" si="22"/>
        <v>203000000</v>
      </c>
      <c r="L120">
        <v>1038727</v>
      </c>
      <c r="N120">
        <v>20000000</v>
      </c>
      <c r="V120" s="67">
        <f t="shared" si="23"/>
        <v>224038727</v>
      </c>
    </row>
    <row r="121" spans="1:22" x14ac:dyDescent="0.25">
      <c r="A121" s="228" t="s">
        <v>358</v>
      </c>
      <c r="B121" s="2" t="s">
        <v>359</v>
      </c>
      <c r="C121">
        <v>211</v>
      </c>
      <c r="D121" s="67">
        <v>4000000</v>
      </c>
      <c r="E121" s="67"/>
      <c r="F121" s="67">
        <v>1865085</v>
      </c>
      <c r="G121" s="67"/>
      <c r="H121" s="67"/>
      <c r="I121" s="67"/>
      <c r="J121" s="67"/>
      <c r="K121" s="67">
        <f t="shared" si="22"/>
        <v>5865085</v>
      </c>
      <c r="N121">
        <v>2399999</v>
      </c>
      <c r="V121" s="67">
        <f t="shared" si="23"/>
        <v>8265084</v>
      </c>
    </row>
    <row r="122" spans="1:22" x14ac:dyDescent="0.25">
      <c r="A122" s="228" t="s">
        <v>361</v>
      </c>
      <c r="B122" s="2" t="s">
        <v>362</v>
      </c>
      <c r="C122">
        <v>211</v>
      </c>
      <c r="D122" s="67">
        <v>450000000</v>
      </c>
      <c r="E122" s="67"/>
      <c r="F122" s="67"/>
      <c r="G122" s="67"/>
      <c r="H122" s="67"/>
      <c r="I122" s="67"/>
      <c r="J122" s="67"/>
      <c r="K122" s="67">
        <f t="shared" si="22"/>
        <v>450000000</v>
      </c>
      <c r="N122">
        <v>5000000</v>
      </c>
      <c r="V122" s="67">
        <f t="shared" si="23"/>
        <v>455000000</v>
      </c>
    </row>
    <row r="123" spans="1:22" x14ac:dyDescent="0.25">
      <c r="A123" s="228" t="s">
        <v>364</v>
      </c>
      <c r="B123" s="2" t="s">
        <v>365</v>
      </c>
      <c r="C123">
        <v>211</v>
      </c>
      <c r="D123" s="67">
        <v>265000000</v>
      </c>
      <c r="E123" s="67"/>
      <c r="F123" s="67"/>
      <c r="G123" s="67"/>
      <c r="H123" s="67"/>
      <c r="I123" s="67"/>
      <c r="J123" s="67"/>
      <c r="K123" s="67">
        <f t="shared" si="22"/>
        <v>265000000</v>
      </c>
      <c r="V123" s="67">
        <f t="shared" si="23"/>
        <v>265000000</v>
      </c>
    </row>
    <row r="124" spans="1:22" ht="30" x14ac:dyDescent="0.25">
      <c r="A124" s="23" t="s">
        <v>368</v>
      </c>
      <c r="B124" s="2" t="s">
        <v>369</v>
      </c>
      <c r="C124" t="s">
        <v>370</v>
      </c>
      <c r="D124" s="67">
        <v>333941758</v>
      </c>
      <c r="E124" s="67">
        <v>366514874</v>
      </c>
      <c r="F124" s="67"/>
      <c r="G124" s="67"/>
      <c r="H124" s="67"/>
      <c r="I124" s="67"/>
      <c r="J124" s="67"/>
      <c r="K124" s="67">
        <f t="shared" si="22"/>
        <v>700456632</v>
      </c>
      <c r="V124" s="67">
        <f t="shared" si="23"/>
        <v>700456632</v>
      </c>
    </row>
    <row r="125" spans="1:22" ht="30" x14ac:dyDescent="0.25">
      <c r="A125" s="228" t="s">
        <v>372</v>
      </c>
      <c r="B125" s="2" t="s">
        <v>373</v>
      </c>
      <c r="C125">
        <v>510</v>
      </c>
      <c r="D125" s="67">
        <v>115954283</v>
      </c>
      <c r="E125" s="67"/>
      <c r="F125" s="67"/>
      <c r="G125" s="67"/>
      <c r="H125" s="67"/>
      <c r="I125" s="67"/>
      <c r="J125" s="67"/>
      <c r="K125" s="67">
        <f t="shared" si="22"/>
        <v>115954283</v>
      </c>
      <c r="V125" s="67">
        <f t="shared" si="23"/>
        <v>115954283</v>
      </c>
    </row>
    <row r="126" spans="1:22" ht="30" x14ac:dyDescent="0.25">
      <c r="A126" s="228" t="s">
        <v>375</v>
      </c>
      <c r="B126" s="2" t="s">
        <v>376</v>
      </c>
      <c r="C126">
        <v>510</v>
      </c>
      <c r="D126" s="67">
        <v>134000000</v>
      </c>
      <c r="E126" s="67"/>
      <c r="F126" s="67"/>
      <c r="G126" s="67"/>
      <c r="H126" s="67"/>
      <c r="I126" s="67"/>
      <c r="J126" s="67"/>
      <c r="K126" s="67">
        <f t="shared" si="22"/>
        <v>134000000</v>
      </c>
      <c r="V126" s="67">
        <f t="shared" si="23"/>
        <v>134000000</v>
      </c>
    </row>
    <row r="127" spans="1:22" ht="30" x14ac:dyDescent="0.25">
      <c r="A127" s="228" t="s">
        <v>377</v>
      </c>
      <c r="B127" s="2" t="s">
        <v>378</v>
      </c>
      <c r="C127">
        <v>510</v>
      </c>
      <c r="D127" s="67">
        <v>31000000</v>
      </c>
      <c r="E127" s="67"/>
      <c r="F127" s="67"/>
      <c r="G127" s="67"/>
      <c r="H127" s="67"/>
      <c r="I127" s="67"/>
      <c r="J127" s="67"/>
      <c r="K127" s="67">
        <f t="shared" si="22"/>
        <v>31000000</v>
      </c>
      <c r="V127" s="67">
        <f t="shared" si="23"/>
        <v>31000000</v>
      </c>
    </row>
    <row r="128" spans="1:22" x14ac:dyDescent="0.25">
      <c r="A128" s="228" t="s">
        <v>379</v>
      </c>
      <c r="B128" s="2" t="s">
        <v>380</v>
      </c>
      <c r="C128">
        <v>510</v>
      </c>
      <c r="D128" s="67">
        <v>2000000</v>
      </c>
      <c r="E128" s="67"/>
      <c r="F128" s="67"/>
      <c r="G128" s="67"/>
      <c r="H128" s="67"/>
      <c r="I128" s="67"/>
      <c r="J128" s="67"/>
      <c r="K128" s="67">
        <f t="shared" si="22"/>
        <v>2000000</v>
      </c>
      <c r="V128" s="67">
        <f t="shared" si="23"/>
        <v>2000000</v>
      </c>
    </row>
    <row r="129" spans="1:22" ht="30" x14ac:dyDescent="0.25">
      <c r="A129" s="228" t="s">
        <v>382</v>
      </c>
      <c r="B129" s="2" t="s">
        <v>383</v>
      </c>
      <c r="C129">
        <v>510</v>
      </c>
      <c r="D129" s="67">
        <v>50000000</v>
      </c>
      <c r="E129" s="67"/>
      <c r="F129" s="67"/>
      <c r="G129" s="67"/>
      <c r="H129" s="67"/>
      <c r="I129" s="67"/>
      <c r="J129" s="67"/>
      <c r="K129" s="67">
        <f t="shared" si="22"/>
        <v>50000000</v>
      </c>
      <c r="V129" s="67">
        <f t="shared" si="23"/>
        <v>50000000</v>
      </c>
    </row>
    <row r="130" spans="1:22" ht="30" x14ac:dyDescent="0.25">
      <c r="A130" s="228" t="s">
        <v>387</v>
      </c>
      <c r="B130" s="2" t="s">
        <v>388</v>
      </c>
      <c r="C130">
        <v>310</v>
      </c>
      <c r="D130" s="67">
        <v>217000000</v>
      </c>
      <c r="E130" s="67"/>
      <c r="F130" s="67"/>
      <c r="G130" s="67"/>
      <c r="H130" s="67"/>
      <c r="I130" s="67"/>
      <c r="J130" s="67"/>
      <c r="K130" s="67">
        <f t="shared" si="22"/>
        <v>217000000</v>
      </c>
      <c r="N130">
        <v>1500000</v>
      </c>
      <c r="V130" s="67">
        <f t="shared" si="23"/>
        <v>218500000</v>
      </c>
    </row>
    <row r="131" spans="1:22" x14ac:dyDescent="0.25">
      <c r="A131" s="279"/>
      <c r="B131" s="279"/>
      <c r="C131" s="279"/>
      <c r="D131" s="280">
        <f t="shared" ref="D131" si="38">SUM(D113:D130)</f>
        <v>2848649070</v>
      </c>
      <c r="E131" s="280">
        <f t="shared" ref="E131" si="39">SUM(E113:E130)</f>
        <v>2334523341</v>
      </c>
      <c r="F131" s="280">
        <f t="shared" ref="F131" si="40">SUM(F113:F130)</f>
        <v>1031716286</v>
      </c>
      <c r="G131" s="280">
        <f t="shared" ref="G131" si="41">SUM(G113:G130)</f>
        <v>0</v>
      </c>
      <c r="H131" s="280">
        <f t="shared" ref="H131" si="42">SUM(H113:H130)</f>
        <v>0</v>
      </c>
      <c r="I131" s="280">
        <f t="shared" ref="I131" si="43">SUM(I113:I130)</f>
        <v>0</v>
      </c>
      <c r="J131" s="280">
        <f t="shared" ref="J131" si="44">SUM(J113:J130)</f>
        <v>0</v>
      </c>
      <c r="K131" s="280">
        <f t="shared" ref="K131:M131" si="45">SUM(K113:K130)</f>
        <v>6214888697</v>
      </c>
      <c r="L131" s="280">
        <f t="shared" si="45"/>
        <v>40761231</v>
      </c>
      <c r="M131" s="280">
        <f t="shared" si="45"/>
        <v>3600476</v>
      </c>
      <c r="N131" s="280">
        <f t="shared" ref="N131:S131" si="46">SUM(N113:N130)</f>
        <v>72868662</v>
      </c>
      <c r="O131" s="280">
        <f t="shared" si="46"/>
        <v>153485735</v>
      </c>
      <c r="P131" s="280">
        <f t="shared" si="46"/>
        <v>257081606</v>
      </c>
      <c r="Q131" s="280">
        <f t="shared" si="46"/>
        <v>0</v>
      </c>
      <c r="R131" s="280">
        <f t="shared" si="46"/>
        <v>0</v>
      </c>
      <c r="S131" s="280">
        <f t="shared" si="46"/>
        <v>0</v>
      </c>
      <c r="T131" s="280">
        <f t="shared" ref="T131:V131" si="47">SUM(T113:T130)</f>
        <v>227543349</v>
      </c>
      <c r="U131" s="280">
        <f t="shared" si="47"/>
        <v>227543349</v>
      </c>
      <c r="V131" s="280">
        <f t="shared" si="47"/>
        <v>6742686407</v>
      </c>
    </row>
    <row r="132" spans="1:22" x14ac:dyDescent="0.25">
      <c r="D132" s="67">
        <f>D131+D112+D96+D63+D25</f>
        <v>14617985503</v>
      </c>
      <c r="E132" s="67">
        <f>E131+E112+E96+E63+E25</f>
        <v>4060909974</v>
      </c>
      <c r="F132" s="67">
        <f>F131+F112+F96+F63+F25</f>
        <v>1228761985</v>
      </c>
      <c r="G132" s="67">
        <f t="shared" ref="G132:S132" si="48">G131+G112+G96+G63+G25</f>
        <v>158290131</v>
      </c>
      <c r="H132" s="67">
        <f t="shared" si="48"/>
        <v>170000000</v>
      </c>
      <c r="I132" s="67">
        <f t="shared" ref="I132" si="49">I131+I112+I96+I63+I25</f>
        <v>202000000</v>
      </c>
      <c r="J132" s="67">
        <f t="shared" ref="J132" si="50">J131+J112+J96+J63+J25</f>
        <v>0</v>
      </c>
      <c r="K132" s="67">
        <f t="shared" si="48"/>
        <v>19717367331</v>
      </c>
      <c r="L132" s="67">
        <f t="shared" si="48"/>
        <v>101761231</v>
      </c>
      <c r="M132" s="67">
        <f t="shared" si="48"/>
        <v>10100476</v>
      </c>
      <c r="N132" s="67">
        <f t="shared" si="48"/>
        <v>239155967</v>
      </c>
      <c r="O132" s="67">
        <f t="shared" si="48"/>
        <v>153485735</v>
      </c>
      <c r="P132" s="67">
        <f t="shared" si="48"/>
        <v>424081606</v>
      </c>
      <c r="Q132" s="67">
        <f t="shared" si="48"/>
        <v>104039242</v>
      </c>
      <c r="R132" s="67">
        <f t="shared" si="48"/>
        <v>14826876</v>
      </c>
      <c r="S132" s="67">
        <f t="shared" si="48"/>
        <v>14826876</v>
      </c>
      <c r="T132" s="67">
        <f t="shared" ref="T132" si="51">T131+T112+T96+T63+T25</f>
        <v>229543349</v>
      </c>
      <c r="U132" s="67">
        <f t="shared" ref="U132:V132" si="52">U131+U112+U96+U63+U25</f>
        <v>229543349</v>
      </c>
      <c r="V132" s="67">
        <f t="shared" si="52"/>
        <v>20749991588</v>
      </c>
    </row>
    <row r="133" spans="1:22" x14ac:dyDescent="0.25">
      <c r="N133">
        <v>239155967</v>
      </c>
    </row>
    <row r="134" spans="1:22" x14ac:dyDescent="0.25">
      <c r="N134" s="67">
        <f>N133-N132</f>
        <v>0</v>
      </c>
    </row>
  </sheetData>
  <mergeCells count="1">
    <mergeCell ref="C1:K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32"/>
  <sheetViews>
    <sheetView topLeftCell="A80" workbookViewId="0">
      <selection activeCell="F84" sqref="F84"/>
    </sheetView>
  </sheetViews>
  <sheetFormatPr baseColWidth="10" defaultRowHeight="15" x14ac:dyDescent="0.25"/>
  <cols>
    <col min="2" max="2" width="29.85546875" customWidth="1"/>
    <col min="3" max="3" width="28.85546875" customWidth="1"/>
    <col min="6" max="6" width="6.28515625" bestFit="1" customWidth="1"/>
    <col min="7" max="13" width="5.7109375" bestFit="1" customWidth="1"/>
    <col min="14" max="14" width="5.28515625" bestFit="1" customWidth="1"/>
    <col min="15" max="15" width="5.7109375" bestFit="1" customWidth="1"/>
    <col min="17" max="17" width="8.5703125" customWidth="1"/>
    <col min="18" max="26" width="5" bestFit="1" customWidth="1"/>
  </cols>
  <sheetData>
    <row r="1" spans="1:27" ht="15.75" thickBot="1" x14ac:dyDescent="0.3"/>
    <row r="2" spans="1:27" ht="15.75" thickBot="1" x14ac:dyDescent="0.3">
      <c r="A2" s="701" t="s">
        <v>531</v>
      </c>
      <c r="B2" s="701" t="s">
        <v>532</v>
      </c>
      <c r="C2" s="701" t="s">
        <v>533</v>
      </c>
      <c r="D2" s="701" t="s">
        <v>534</v>
      </c>
      <c r="E2" s="701" t="s">
        <v>535</v>
      </c>
      <c r="F2" s="710" t="s">
        <v>536</v>
      </c>
      <c r="G2" s="711"/>
      <c r="H2" s="711"/>
      <c r="I2" s="711"/>
      <c r="J2" s="711"/>
      <c r="K2" s="711"/>
      <c r="L2" s="711"/>
      <c r="M2" s="711"/>
      <c r="N2" s="711"/>
      <c r="O2" s="712"/>
      <c r="Q2" s="709" t="s">
        <v>556</v>
      </c>
      <c r="R2" s="709"/>
      <c r="S2" s="709"/>
      <c r="T2" s="709"/>
      <c r="U2" s="709"/>
      <c r="V2" s="709"/>
      <c r="W2" s="709"/>
      <c r="X2" s="709"/>
      <c r="Y2" s="709"/>
      <c r="Z2" s="709"/>
    </row>
    <row r="3" spans="1:27" ht="15.75" thickBot="1" x14ac:dyDescent="0.3">
      <c r="A3" s="702"/>
      <c r="B3" s="702"/>
      <c r="C3" s="702"/>
      <c r="D3" s="702"/>
      <c r="E3" s="702"/>
      <c r="F3" s="136">
        <v>2015</v>
      </c>
      <c r="G3" s="136">
        <v>2016</v>
      </c>
      <c r="H3" s="136">
        <v>2017</v>
      </c>
      <c r="I3" s="136">
        <v>2018</v>
      </c>
      <c r="J3" s="136">
        <v>2019</v>
      </c>
      <c r="K3" s="136">
        <v>2020</v>
      </c>
      <c r="L3" s="136">
        <v>2021</v>
      </c>
      <c r="M3" s="136">
        <v>2022</v>
      </c>
      <c r="N3" s="136">
        <v>2023</v>
      </c>
      <c r="O3" s="136">
        <v>2024</v>
      </c>
      <c r="Q3" s="149">
        <v>2015</v>
      </c>
      <c r="R3" s="149">
        <v>2016</v>
      </c>
      <c r="S3" s="149">
        <v>2017</v>
      </c>
      <c r="T3" s="149">
        <v>2018</v>
      </c>
      <c r="U3" s="149">
        <v>2019</v>
      </c>
      <c r="V3" s="149">
        <v>2020</v>
      </c>
      <c r="W3" s="149">
        <v>2021</v>
      </c>
      <c r="X3" s="149">
        <v>2022</v>
      </c>
      <c r="Y3" s="149">
        <v>2023</v>
      </c>
      <c r="Z3" s="149">
        <v>2024</v>
      </c>
    </row>
    <row r="4" spans="1:27" ht="39" thickBot="1" x14ac:dyDescent="0.3">
      <c r="A4" s="703" t="s">
        <v>537</v>
      </c>
      <c r="B4" s="152" t="s">
        <v>538</v>
      </c>
      <c r="C4" s="147" t="s">
        <v>539</v>
      </c>
      <c r="D4" s="139">
        <v>1150</v>
      </c>
      <c r="E4" s="140">
        <v>40009</v>
      </c>
      <c r="F4" s="146">
        <v>2</v>
      </c>
      <c r="G4" s="146">
        <v>2</v>
      </c>
      <c r="H4" s="146">
        <v>3</v>
      </c>
      <c r="I4" s="146">
        <v>3.01</v>
      </c>
      <c r="J4" s="146">
        <v>3.78</v>
      </c>
      <c r="K4" s="146">
        <v>4</v>
      </c>
      <c r="L4" s="146">
        <v>4</v>
      </c>
      <c r="M4" s="146">
        <v>4</v>
      </c>
      <c r="N4" s="146">
        <v>4</v>
      </c>
      <c r="O4" s="146">
        <v>4</v>
      </c>
      <c r="Q4" s="151">
        <f>D4</f>
        <v>1150</v>
      </c>
      <c r="R4" s="151">
        <f>D4*G4</f>
        <v>2300</v>
      </c>
      <c r="S4" s="151">
        <f>D4*H4</f>
        <v>3450</v>
      </c>
      <c r="T4" s="151">
        <f>D4*I4</f>
        <v>3461.4999999999995</v>
      </c>
      <c r="U4" s="151">
        <f>D4*J4</f>
        <v>4347</v>
      </c>
      <c r="V4" s="151">
        <f>D4*K4</f>
        <v>4600</v>
      </c>
      <c r="W4" s="151">
        <f>D4*L4</f>
        <v>4600</v>
      </c>
      <c r="X4" s="151">
        <f>D4*M4</f>
        <v>4600</v>
      </c>
      <c r="Y4" s="151">
        <f>D4*N4</f>
        <v>4600</v>
      </c>
      <c r="Z4" s="151">
        <f>D4*O4</f>
        <v>4600</v>
      </c>
      <c r="AA4" s="112">
        <f>SUM(Q4:Z4)</f>
        <v>37708.5</v>
      </c>
    </row>
    <row r="5" spans="1:27" ht="15.75" customHeight="1" thickBot="1" x14ac:dyDescent="0.3">
      <c r="A5" s="704"/>
      <c r="B5" s="706" t="s">
        <v>540</v>
      </c>
      <c r="C5" s="147" t="s">
        <v>541</v>
      </c>
      <c r="D5" s="143">
        <v>27</v>
      </c>
      <c r="E5" s="143">
        <v>32</v>
      </c>
      <c r="F5" s="146">
        <v>0</v>
      </c>
      <c r="G5" s="148">
        <v>3.5999999999999997E-2</v>
      </c>
      <c r="H5" s="146">
        <v>0</v>
      </c>
      <c r="I5" s="148">
        <v>3.5999999999999997E-2</v>
      </c>
      <c r="J5" s="146">
        <v>0</v>
      </c>
      <c r="K5" s="148">
        <v>3.5999999999999997E-2</v>
      </c>
      <c r="L5" s="146">
        <v>0</v>
      </c>
      <c r="M5" s="148">
        <v>3.5999999999999997E-2</v>
      </c>
      <c r="N5" s="146">
        <v>0</v>
      </c>
      <c r="O5" s="148">
        <v>3.5999999999999997E-2</v>
      </c>
      <c r="Q5" s="151">
        <f t="shared" ref="Q5:Q15" si="0">D5</f>
        <v>27</v>
      </c>
      <c r="R5" s="151">
        <f t="shared" ref="R5:R15" si="1">D5*G5</f>
        <v>0.97199999999999998</v>
      </c>
      <c r="S5" s="151">
        <f t="shared" ref="S5:S15" si="2">D5*H5</f>
        <v>0</v>
      </c>
      <c r="T5" s="151">
        <f t="shared" ref="T5:T15" si="3">D5*I5</f>
        <v>0.97199999999999998</v>
      </c>
      <c r="U5" s="151">
        <f t="shared" ref="U5:U15" si="4">D5*J5</f>
        <v>0</v>
      </c>
      <c r="V5" s="151">
        <f t="shared" ref="V5:V15" si="5">D5*K5</f>
        <v>0.97199999999999998</v>
      </c>
      <c r="W5" s="151">
        <f t="shared" ref="W5:W15" si="6">D5*L5</f>
        <v>0</v>
      </c>
      <c r="X5" s="151">
        <f t="shared" ref="X5:X15" si="7">D5*M5</f>
        <v>0.97199999999999998</v>
      </c>
      <c r="Y5" s="151">
        <f t="shared" ref="Y5:Y15" si="8">D5*N5</f>
        <v>0</v>
      </c>
      <c r="Z5" s="151">
        <f t="shared" ref="Z5:Z15" si="9">D5*O5</f>
        <v>0.97199999999999998</v>
      </c>
      <c r="AA5" s="112">
        <f t="shared" ref="AA5:AA68" si="10">SUM(Q5:Z5)</f>
        <v>31.860000000000007</v>
      </c>
    </row>
    <row r="6" spans="1:27" ht="15.75" thickBot="1" x14ac:dyDescent="0.3">
      <c r="A6" s="704"/>
      <c r="B6" s="707"/>
      <c r="C6" s="147" t="s">
        <v>542</v>
      </c>
      <c r="D6" s="144">
        <v>8</v>
      </c>
      <c r="E6" s="144">
        <v>12</v>
      </c>
      <c r="F6" s="146">
        <v>0</v>
      </c>
      <c r="G6" s="146">
        <v>0.12</v>
      </c>
      <c r="H6" s="146">
        <v>0</v>
      </c>
      <c r="I6" s="146">
        <v>0.12</v>
      </c>
      <c r="J6" s="146">
        <v>0</v>
      </c>
      <c r="K6" s="146">
        <v>0.12</v>
      </c>
      <c r="L6" s="146">
        <v>0</v>
      </c>
      <c r="M6" s="146">
        <v>0.09</v>
      </c>
      <c r="N6" s="146">
        <v>0</v>
      </c>
      <c r="O6" s="146">
        <v>0.09</v>
      </c>
      <c r="Q6" s="151">
        <f t="shared" si="0"/>
        <v>8</v>
      </c>
      <c r="R6" s="151">
        <f t="shared" si="1"/>
        <v>0.96</v>
      </c>
      <c r="S6" s="151">
        <f t="shared" si="2"/>
        <v>0</v>
      </c>
      <c r="T6" s="151">
        <f t="shared" si="3"/>
        <v>0.96</v>
      </c>
      <c r="U6" s="151">
        <f t="shared" si="4"/>
        <v>0</v>
      </c>
      <c r="V6" s="151">
        <f t="shared" si="5"/>
        <v>0.96</v>
      </c>
      <c r="W6" s="151">
        <f t="shared" si="6"/>
        <v>0</v>
      </c>
      <c r="X6" s="151">
        <f t="shared" si="7"/>
        <v>0.72</v>
      </c>
      <c r="Y6" s="151">
        <f t="shared" si="8"/>
        <v>0</v>
      </c>
      <c r="Z6" s="151">
        <f t="shared" si="9"/>
        <v>0.72</v>
      </c>
      <c r="AA6" s="112">
        <f t="shared" si="10"/>
        <v>12.320000000000004</v>
      </c>
    </row>
    <row r="7" spans="1:27" ht="15.75" thickBot="1" x14ac:dyDescent="0.3">
      <c r="A7" s="704"/>
      <c r="B7" s="708"/>
      <c r="C7" s="147" t="s">
        <v>543</v>
      </c>
      <c r="D7" s="144">
        <v>2</v>
      </c>
      <c r="E7" s="144">
        <v>6</v>
      </c>
      <c r="F7" s="146">
        <v>0</v>
      </c>
      <c r="G7" s="146">
        <v>0</v>
      </c>
      <c r="H7" s="146">
        <v>1</v>
      </c>
      <c r="I7" s="146">
        <v>0</v>
      </c>
      <c r="J7" s="146">
        <v>0.3</v>
      </c>
      <c r="K7" s="146">
        <v>0</v>
      </c>
      <c r="L7" s="146">
        <v>0</v>
      </c>
      <c r="M7" s="146">
        <v>0</v>
      </c>
      <c r="N7" s="146">
        <v>0</v>
      </c>
      <c r="O7" s="146">
        <v>0.7</v>
      </c>
      <c r="Q7" s="151">
        <f t="shared" si="0"/>
        <v>2</v>
      </c>
      <c r="R7" s="151">
        <f t="shared" si="1"/>
        <v>0</v>
      </c>
      <c r="S7" s="151">
        <f t="shared" si="2"/>
        <v>2</v>
      </c>
      <c r="T7" s="151">
        <f t="shared" si="3"/>
        <v>0</v>
      </c>
      <c r="U7" s="151">
        <f t="shared" si="4"/>
        <v>0.6</v>
      </c>
      <c r="V7" s="151">
        <f t="shared" si="5"/>
        <v>0</v>
      </c>
      <c r="W7" s="151">
        <f t="shared" si="6"/>
        <v>0</v>
      </c>
      <c r="X7" s="151">
        <f t="shared" si="7"/>
        <v>0</v>
      </c>
      <c r="Y7" s="151">
        <f t="shared" si="8"/>
        <v>0</v>
      </c>
      <c r="Z7" s="151">
        <f t="shared" si="9"/>
        <v>1.4</v>
      </c>
      <c r="AA7" s="112">
        <f t="shared" si="10"/>
        <v>6</v>
      </c>
    </row>
    <row r="8" spans="1:27" ht="15.75" customHeight="1" thickBot="1" x14ac:dyDescent="0.3">
      <c r="A8" s="704"/>
      <c r="B8" s="706" t="s">
        <v>544</v>
      </c>
      <c r="C8" s="147" t="s">
        <v>543</v>
      </c>
      <c r="D8" s="144">
        <v>37</v>
      </c>
      <c r="E8" s="144">
        <v>49</v>
      </c>
      <c r="F8" s="146">
        <v>0.05</v>
      </c>
      <c r="G8" s="146">
        <v>0</v>
      </c>
      <c r="H8" s="146">
        <v>0.05</v>
      </c>
      <c r="I8" s="146">
        <v>0</v>
      </c>
      <c r="J8" s="146">
        <v>0.05</v>
      </c>
      <c r="K8" s="146">
        <v>0</v>
      </c>
      <c r="L8" s="146">
        <v>0.05</v>
      </c>
      <c r="M8" s="146">
        <v>0.05</v>
      </c>
      <c r="N8" s="146">
        <v>0.04</v>
      </c>
      <c r="O8" s="146">
        <v>0.04</v>
      </c>
      <c r="Q8" s="151">
        <f t="shared" si="0"/>
        <v>37</v>
      </c>
      <c r="R8" s="151">
        <f t="shared" si="1"/>
        <v>0</v>
      </c>
      <c r="S8" s="151">
        <f t="shared" si="2"/>
        <v>1.85</v>
      </c>
      <c r="T8" s="151">
        <f t="shared" si="3"/>
        <v>0</v>
      </c>
      <c r="U8" s="151">
        <f t="shared" si="4"/>
        <v>1.85</v>
      </c>
      <c r="V8" s="151">
        <f t="shared" si="5"/>
        <v>0</v>
      </c>
      <c r="W8" s="151">
        <f t="shared" si="6"/>
        <v>1.85</v>
      </c>
      <c r="X8" s="151">
        <f t="shared" si="7"/>
        <v>1.85</v>
      </c>
      <c r="Y8" s="151">
        <f t="shared" si="8"/>
        <v>1.48</v>
      </c>
      <c r="Z8" s="151">
        <f t="shared" si="9"/>
        <v>1.48</v>
      </c>
      <c r="AA8" s="112">
        <f t="shared" si="10"/>
        <v>47.36</v>
      </c>
    </row>
    <row r="9" spans="1:27" ht="15.75" thickBot="1" x14ac:dyDescent="0.3">
      <c r="A9" s="704"/>
      <c r="B9" s="707"/>
      <c r="C9" s="147" t="s">
        <v>545</v>
      </c>
      <c r="D9" s="144">
        <v>189</v>
      </c>
      <c r="E9" s="144">
        <v>198</v>
      </c>
      <c r="F9" s="146">
        <v>0</v>
      </c>
      <c r="G9" s="146">
        <v>0.01</v>
      </c>
      <c r="H9" s="146">
        <v>0</v>
      </c>
      <c r="I9" s="146">
        <v>0.01</v>
      </c>
      <c r="J9" s="146">
        <v>0</v>
      </c>
      <c r="K9" s="146">
        <v>0.01</v>
      </c>
      <c r="L9" s="146">
        <v>0</v>
      </c>
      <c r="M9" s="146">
        <v>0.01</v>
      </c>
      <c r="N9" s="146">
        <v>0</v>
      </c>
      <c r="O9" s="146">
        <v>0.01</v>
      </c>
      <c r="Q9" s="151">
        <f t="shared" si="0"/>
        <v>189</v>
      </c>
      <c r="R9" s="151">
        <f t="shared" si="1"/>
        <v>1.8900000000000001</v>
      </c>
      <c r="S9" s="151">
        <f t="shared" si="2"/>
        <v>0</v>
      </c>
      <c r="T9" s="151">
        <f t="shared" si="3"/>
        <v>1.8900000000000001</v>
      </c>
      <c r="U9" s="151">
        <f t="shared" si="4"/>
        <v>0</v>
      </c>
      <c r="V9" s="151">
        <f t="shared" si="5"/>
        <v>1.8900000000000001</v>
      </c>
      <c r="W9" s="151">
        <f t="shared" si="6"/>
        <v>0</v>
      </c>
      <c r="X9" s="151">
        <f t="shared" si="7"/>
        <v>1.8900000000000001</v>
      </c>
      <c r="Y9" s="151">
        <f t="shared" si="8"/>
        <v>0</v>
      </c>
      <c r="Z9" s="151">
        <f t="shared" si="9"/>
        <v>1.8900000000000001</v>
      </c>
      <c r="AA9" s="112">
        <f t="shared" si="10"/>
        <v>198.44999999999993</v>
      </c>
    </row>
    <row r="10" spans="1:27" ht="26.25" thickBot="1" x14ac:dyDescent="0.3">
      <c r="A10" s="704"/>
      <c r="B10" s="708"/>
      <c r="C10" s="147" t="s">
        <v>546</v>
      </c>
      <c r="D10" s="144">
        <v>100</v>
      </c>
      <c r="E10" s="144">
        <v>100</v>
      </c>
      <c r="F10" s="146">
        <v>0</v>
      </c>
      <c r="G10" s="146">
        <v>0</v>
      </c>
      <c r="H10" s="146">
        <v>0</v>
      </c>
      <c r="I10" s="146">
        <v>0</v>
      </c>
      <c r="J10" s="146">
        <v>0</v>
      </c>
      <c r="K10" s="146">
        <v>0</v>
      </c>
      <c r="L10" s="146">
        <v>0</v>
      </c>
      <c r="M10" s="146">
        <v>0</v>
      </c>
      <c r="N10" s="146">
        <v>0</v>
      </c>
      <c r="O10" s="146">
        <v>0</v>
      </c>
      <c r="Q10" s="151">
        <f t="shared" si="0"/>
        <v>100</v>
      </c>
      <c r="R10" s="151">
        <f t="shared" si="1"/>
        <v>0</v>
      </c>
      <c r="S10" s="151">
        <f t="shared" si="2"/>
        <v>0</v>
      </c>
      <c r="T10" s="151">
        <f t="shared" si="3"/>
        <v>0</v>
      </c>
      <c r="U10" s="151">
        <f t="shared" si="4"/>
        <v>0</v>
      </c>
      <c r="V10" s="151">
        <f t="shared" si="5"/>
        <v>0</v>
      </c>
      <c r="W10" s="151">
        <f t="shared" si="6"/>
        <v>0</v>
      </c>
      <c r="X10" s="151">
        <f t="shared" si="7"/>
        <v>0</v>
      </c>
      <c r="Y10" s="151">
        <f t="shared" si="8"/>
        <v>0</v>
      </c>
      <c r="Z10" s="151">
        <f t="shared" si="9"/>
        <v>0</v>
      </c>
      <c r="AA10" s="112">
        <f t="shared" si="10"/>
        <v>100</v>
      </c>
    </row>
    <row r="11" spans="1:27" ht="15.75" customHeight="1" thickBot="1" x14ac:dyDescent="0.3">
      <c r="A11" s="704"/>
      <c r="B11" s="706" t="s">
        <v>547</v>
      </c>
      <c r="C11" s="147" t="s">
        <v>548</v>
      </c>
      <c r="D11" s="144">
        <v>27</v>
      </c>
      <c r="E11" s="144">
        <v>31</v>
      </c>
      <c r="F11" s="146">
        <v>0</v>
      </c>
      <c r="G11" s="146">
        <v>0</v>
      </c>
      <c r="H11" s="148">
        <v>3.6999999999999998E-2</v>
      </c>
      <c r="I11" s="146">
        <v>0</v>
      </c>
      <c r="J11" s="148">
        <v>3.5000000000000003E-2</v>
      </c>
      <c r="K11" s="146">
        <v>0</v>
      </c>
      <c r="L11" s="148">
        <v>3.4000000000000002E-2</v>
      </c>
      <c r="M11" s="146">
        <v>0</v>
      </c>
      <c r="N11" s="146">
        <v>0</v>
      </c>
      <c r="O11" s="148">
        <v>3.3000000000000002E-2</v>
      </c>
      <c r="Q11" s="151">
        <f t="shared" si="0"/>
        <v>27</v>
      </c>
      <c r="R11" s="151">
        <f t="shared" si="1"/>
        <v>0</v>
      </c>
      <c r="S11" s="151">
        <f t="shared" si="2"/>
        <v>0.999</v>
      </c>
      <c r="T11" s="151">
        <f t="shared" si="3"/>
        <v>0</v>
      </c>
      <c r="U11" s="151">
        <f t="shared" si="4"/>
        <v>0.94500000000000006</v>
      </c>
      <c r="V11" s="151">
        <f t="shared" si="5"/>
        <v>0</v>
      </c>
      <c r="W11" s="151">
        <f t="shared" si="6"/>
        <v>0.91800000000000004</v>
      </c>
      <c r="X11" s="151">
        <f t="shared" si="7"/>
        <v>0</v>
      </c>
      <c r="Y11" s="151">
        <f t="shared" si="8"/>
        <v>0</v>
      </c>
      <c r="Z11" s="151">
        <f t="shared" si="9"/>
        <v>0.89100000000000001</v>
      </c>
      <c r="AA11" s="112">
        <f t="shared" si="10"/>
        <v>30.753</v>
      </c>
    </row>
    <row r="12" spans="1:27" ht="15.75" thickBot="1" x14ac:dyDescent="0.3">
      <c r="A12" s="704"/>
      <c r="B12" s="708"/>
      <c r="C12" s="147" t="s">
        <v>549</v>
      </c>
      <c r="D12" s="144">
        <v>0</v>
      </c>
      <c r="E12" s="144">
        <v>26</v>
      </c>
      <c r="F12" s="146">
        <v>0.84</v>
      </c>
      <c r="G12" s="146">
        <v>0</v>
      </c>
      <c r="H12" s="148">
        <v>4.4999999999999998E-2</v>
      </c>
      <c r="I12" s="146">
        <v>0</v>
      </c>
      <c r="J12" s="148">
        <v>4.4999999999999998E-2</v>
      </c>
      <c r="K12" s="146">
        <v>0</v>
      </c>
      <c r="L12" s="146">
        <v>0.04</v>
      </c>
      <c r="M12" s="146">
        <v>0</v>
      </c>
      <c r="N12" s="146">
        <v>0.03</v>
      </c>
      <c r="O12" s="146">
        <v>0</v>
      </c>
      <c r="Q12" s="151">
        <f t="shared" si="0"/>
        <v>0</v>
      </c>
      <c r="R12" s="151">
        <f t="shared" si="1"/>
        <v>0</v>
      </c>
      <c r="S12" s="151">
        <f t="shared" si="2"/>
        <v>0</v>
      </c>
      <c r="T12" s="151">
        <f t="shared" si="3"/>
        <v>0</v>
      </c>
      <c r="U12" s="151">
        <f t="shared" si="4"/>
        <v>0</v>
      </c>
      <c r="V12" s="151">
        <f t="shared" si="5"/>
        <v>0</v>
      </c>
      <c r="W12" s="151">
        <f t="shared" si="6"/>
        <v>0</v>
      </c>
      <c r="X12" s="151">
        <f t="shared" si="7"/>
        <v>0</v>
      </c>
      <c r="Y12" s="151">
        <f t="shared" si="8"/>
        <v>0</v>
      </c>
      <c r="Z12" s="151">
        <f t="shared" si="9"/>
        <v>0</v>
      </c>
      <c r="AA12" s="112">
        <f t="shared" si="10"/>
        <v>0</v>
      </c>
    </row>
    <row r="13" spans="1:27" ht="26.25" thickBot="1" x14ac:dyDescent="0.3">
      <c r="A13" s="704"/>
      <c r="B13" s="152" t="s">
        <v>550</v>
      </c>
      <c r="C13" s="147" t="s">
        <v>551</v>
      </c>
      <c r="D13" s="144">
        <v>0</v>
      </c>
      <c r="E13" s="145">
        <v>1</v>
      </c>
      <c r="F13" s="146">
        <v>0.3</v>
      </c>
      <c r="G13" s="146">
        <v>0.3</v>
      </c>
      <c r="H13" s="146">
        <v>0.4</v>
      </c>
      <c r="I13" s="146">
        <v>0</v>
      </c>
      <c r="J13" s="146">
        <v>0</v>
      </c>
      <c r="K13" s="146">
        <v>0</v>
      </c>
      <c r="L13" s="146">
        <v>0</v>
      </c>
      <c r="M13" s="146">
        <v>0</v>
      </c>
      <c r="N13" s="146">
        <v>0</v>
      </c>
      <c r="O13" s="146">
        <v>0</v>
      </c>
      <c r="Q13" s="151">
        <f t="shared" si="0"/>
        <v>0</v>
      </c>
      <c r="R13" s="151">
        <f t="shared" si="1"/>
        <v>0</v>
      </c>
      <c r="S13" s="151">
        <f t="shared" si="2"/>
        <v>0</v>
      </c>
      <c r="T13" s="151">
        <f t="shared" si="3"/>
        <v>0</v>
      </c>
      <c r="U13" s="151">
        <f t="shared" si="4"/>
        <v>0</v>
      </c>
      <c r="V13" s="151">
        <f t="shared" si="5"/>
        <v>0</v>
      </c>
      <c r="W13" s="151">
        <f t="shared" si="6"/>
        <v>0</v>
      </c>
      <c r="X13" s="151">
        <f t="shared" si="7"/>
        <v>0</v>
      </c>
      <c r="Y13" s="151">
        <f t="shared" si="8"/>
        <v>0</v>
      </c>
      <c r="Z13" s="151">
        <f t="shared" si="9"/>
        <v>0</v>
      </c>
      <c r="AA13" s="112">
        <f t="shared" si="10"/>
        <v>0</v>
      </c>
    </row>
    <row r="14" spans="1:27" ht="26.25" thickBot="1" x14ac:dyDescent="0.3">
      <c r="A14" s="704"/>
      <c r="B14" s="152" t="s">
        <v>552</v>
      </c>
      <c r="C14" s="147" t="s">
        <v>553</v>
      </c>
      <c r="D14" s="144">
        <v>2</v>
      </c>
      <c r="E14" s="144">
        <v>40</v>
      </c>
      <c r="F14" s="146">
        <v>11.5</v>
      </c>
      <c r="G14" s="146">
        <v>0</v>
      </c>
      <c r="H14" s="146">
        <v>0</v>
      </c>
      <c r="I14" s="146">
        <v>0</v>
      </c>
      <c r="J14" s="146">
        <v>0.2</v>
      </c>
      <c r="K14" s="146">
        <v>0</v>
      </c>
      <c r="L14" s="146">
        <v>0</v>
      </c>
      <c r="M14" s="146">
        <v>1</v>
      </c>
      <c r="N14" s="146">
        <v>0</v>
      </c>
      <c r="O14" s="146">
        <v>6.5</v>
      </c>
      <c r="Q14" s="151">
        <f t="shared" si="0"/>
        <v>2</v>
      </c>
      <c r="R14" s="151">
        <f t="shared" si="1"/>
        <v>0</v>
      </c>
      <c r="S14" s="151">
        <f t="shared" si="2"/>
        <v>0</v>
      </c>
      <c r="T14" s="151">
        <f t="shared" si="3"/>
        <v>0</v>
      </c>
      <c r="U14" s="151">
        <f t="shared" si="4"/>
        <v>0.4</v>
      </c>
      <c r="V14" s="151">
        <f t="shared" si="5"/>
        <v>0</v>
      </c>
      <c r="W14" s="151">
        <f t="shared" si="6"/>
        <v>0</v>
      </c>
      <c r="X14" s="151">
        <f t="shared" si="7"/>
        <v>2</v>
      </c>
      <c r="Y14" s="151">
        <f t="shared" si="8"/>
        <v>0</v>
      </c>
      <c r="Z14" s="151">
        <f t="shared" si="9"/>
        <v>13</v>
      </c>
      <c r="AA14" s="112">
        <f t="shared" si="10"/>
        <v>17.399999999999999</v>
      </c>
    </row>
    <row r="15" spans="1:27" ht="39" thickBot="1" x14ac:dyDescent="0.3">
      <c r="A15" s="705"/>
      <c r="B15" s="152" t="s">
        <v>554</v>
      </c>
      <c r="C15" s="147" t="s">
        <v>555</v>
      </c>
      <c r="D15" s="144">
        <v>1</v>
      </c>
      <c r="E15" s="144">
        <v>70</v>
      </c>
      <c r="F15" s="146">
        <v>9</v>
      </c>
      <c r="G15" s="146">
        <v>8</v>
      </c>
      <c r="H15" s="146">
        <v>8</v>
      </c>
      <c r="I15" s="146">
        <v>7</v>
      </c>
      <c r="J15" s="146">
        <v>7</v>
      </c>
      <c r="K15" s="146">
        <v>6</v>
      </c>
      <c r="L15" s="146">
        <v>6</v>
      </c>
      <c r="M15" s="146">
        <v>6</v>
      </c>
      <c r="N15" s="146">
        <v>6</v>
      </c>
      <c r="O15" s="146">
        <v>6</v>
      </c>
      <c r="Q15" s="151">
        <f t="shared" si="0"/>
        <v>1</v>
      </c>
      <c r="R15" s="151">
        <f t="shared" si="1"/>
        <v>8</v>
      </c>
      <c r="S15" s="151">
        <f t="shared" si="2"/>
        <v>8</v>
      </c>
      <c r="T15" s="151">
        <f t="shared" si="3"/>
        <v>7</v>
      </c>
      <c r="U15" s="151">
        <f t="shared" si="4"/>
        <v>7</v>
      </c>
      <c r="V15" s="151">
        <f t="shared" si="5"/>
        <v>6</v>
      </c>
      <c r="W15" s="151">
        <f t="shared" si="6"/>
        <v>6</v>
      </c>
      <c r="X15" s="151">
        <f t="shared" si="7"/>
        <v>6</v>
      </c>
      <c r="Y15" s="151">
        <f t="shared" si="8"/>
        <v>6</v>
      </c>
      <c r="Z15" s="151">
        <f t="shared" si="9"/>
        <v>6</v>
      </c>
      <c r="AA15" s="112">
        <f t="shared" si="10"/>
        <v>61</v>
      </c>
    </row>
    <row r="16" spans="1:27" ht="15.75" thickBot="1" x14ac:dyDescent="0.3">
      <c r="AA16" s="112"/>
    </row>
    <row r="17" spans="1:27" ht="15.75" thickBot="1" x14ac:dyDescent="0.3">
      <c r="A17" s="699" t="s">
        <v>557</v>
      </c>
      <c r="B17" s="699" t="s">
        <v>532</v>
      </c>
      <c r="C17" s="699" t="s">
        <v>533</v>
      </c>
      <c r="D17" s="699" t="s">
        <v>534</v>
      </c>
      <c r="E17" s="699" t="s">
        <v>535</v>
      </c>
      <c r="F17" s="696" t="s">
        <v>536</v>
      </c>
      <c r="G17" s="697"/>
      <c r="H17" s="697"/>
      <c r="I17" s="697"/>
      <c r="J17" s="697"/>
      <c r="K17" s="697"/>
      <c r="L17" s="697"/>
      <c r="M17" s="697"/>
      <c r="N17" s="697"/>
      <c r="O17" s="698"/>
      <c r="P17" s="141"/>
      <c r="Q17" s="696" t="s">
        <v>536</v>
      </c>
      <c r="R17" s="697"/>
      <c r="S17" s="697"/>
      <c r="T17" s="697"/>
      <c r="U17" s="697"/>
      <c r="V17" s="697"/>
      <c r="W17" s="697"/>
      <c r="X17" s="697"/>
      <c r="Y17" s="697"/>
      <c r="Z17" s="698"/>
      <c r="AA17" s="112"/>
    </row>
    <row r="18" spans="1:27" ht="15.75" thickBot="1" x14ac:dyDescent="0.3">
      <c r="A18" s="700"/>
      <c r="B18" s="700"/>
      <c r="C18" s="700"/>
      <c r="D18" s="700"/>
      <c r="E18" s="700"/>
      <c r="F18" s="163">
        <v>2015</v>
      </c>
      <c r="G18" s="163">
        <v>2016</v>
      </c>
      <c r="H18" s="163">
        <v>2017</v>
      </c>
      <c r="I18" s="163">
        <v>2018</v>
      </c>
      <c r="J18" s="163">
        <v>2019</v>
      </c>
      <c r="K18" s="163">
        <v>2020</v>
      </c>
      <c r="L18" s="163">
        <v>2021</v>
      </c>
      <c r="M18" s="163">
        <v>2022</v>
      </c>
      <c r="N18" s="164">
        <v>2023</v>
      </c>
      <c r="O18" s="163">
        <v>2024</v>
      </c>
      <c r="P18" s="160"/>
      <c r="Q18" s="163">
        <v>2015</v>
      </c>
      <c r="R18" s="163">
        <v>2016</v>
      </c>
      <c r="S18" s="163">
        <v>2017</v>
      </c>
      <c r="T18" s="163">
        <v>2018</v>
      </c>
      <c r="U18" s="163">
        <v>2019</v>
      </c>
      <c r="V18" s="163">
        <v>2020</v>
      </c>
      <c r="W18" s="163">
        <v>2021</v>
      </c>
      <c r="X18" s="163">
        <v>2022</v>
      </c>
      <c r="Y18" s="164">
        <v>2023</v>
      </c>
      <c r="Z18" s="163">
        <v>2024</v>
      </c>
      <c r="AA18" s="112"/>
    </row>
    <row r="19" spans="1:27" ht="39" thickBot="1" x14ac:dyDescent="0.3">
      <c r="A19" s="723" t="s">
        <v>558</v>
      </c>
      <c r="B19" s="716" t="s">
        <v>559</v>
      </c>
      <c r="C19" s="138" t="s">
        <v>560</v>
      </c>
      <c r="D19" s="153">
        <v>6</v>
      </c>
      <c r="E19" s="153">
        <v>46</v>
      </c>
      <c r="F19" s="150">
        <v>0.5</v>
      </c>
      <c r="G19" s="150">
        <v>0.5</v>
      </c>
      <c r="H19" s="150">
        <v>0.6</v>
      </c>
      <c r="I19" s="150">
        <v>0.7</v>
      </c>
      <c r="J19" s="150">
        <v>0.7</v>
      </c>
      <c r="K19" s="150">
        <v>0.7</v>
      </c>
      <c r="L19" s="150">
        <v>0.8</v>
      </c>
      <c r="M19" s="150">
        <v>0.9</v>
      </c>
      <c r="N19" s="165">
        <v>0.5</v>
      </c>
      <c r="O19" s="150">
        <v>0.8</v>
      </c>
      <c r="P19" s="161"/>
      <c r="Q19" s="151">
        <f>D19</f>
        <v>6</v>
      </c>
      <c r="R19" s="151">
        <f>D19*G19</f>
        <v>3</v>
      </c>
      <c r="S19" s="151">
        <f>D19*H19</f>
        <v>3.5999999999999996</v>
      </c>
      <c r="T19" s="151">
        <f>D19*I19</f>
        <v>4.1999999999999993</v>
      </c>
      <c r="U19" s="151">
        <f>D19*J19</f>
        <v>4.1999999999999993</v>
      </c>
      <c r="V19" s="151">
        <f>D19*K19</f>
        <v>4.1999999999999993</v>
      </c>
      <c r="W19" s="151">
        <f>D19*L19</f>
        <v>4.8000000000000007</v>
      </c>
      <c r="X19" s="151">
        <f>D19*M19</f>
        <v>5.4</v>
      </c>
      <c r="Y19" s="151">
        <f>D19*N19</f>
        <v>3</v>
      </c>
      <c r="Z19" s="151">
        <f>D19*O19</f>
        <v>4.8000000000000007</v>
      </c>
      <c r="AA19" s="112">
        <f t="shared" si="10"/>
        <v>43.2</v>
      </c>
    </row>
    <row r="20" spans="1:27" ht="39" thickBot="1" x14ac:dyDescent="0.3">
      <c r="A20" s="724"/>
      <c r="B20" s="718"/>
      <c r="C20" s="138" t="s">
        <v>561</v>
      </c>
      <c r="D20" s="153">
        <v>3</v>
      </c>
      <c r="E20" s="153">
        <v>33</v>
      </c>
      <c r="F20" s="150">
        <v>1</v>
      </c>
      <c r="G20" s="150">
        <v>1.1000000000000001</v>
      </c>
      <c r="H20" s="150">
        <v>1.2</v>
      </c>
      <c r="I20" s="150">
        <v>1.3</v>
      </c>
      <c r="J20" s="150">
        <v>0.8</v>
      </c>
      <c r="K20" s="150">
        <v>0.9</v>
      </c>
      <c r="L20" s="150">
        <v>0.9</v>
      </c>
      <c r="M20" s="150">
        <v>0.9</v>
      </c>
      <c r="N20" s="165">
        <v>1</v>
      </c>
      <c r="O20" s="150">
        <v>1</v>
      </c>
      <c r="P20" s="161"/>
      <c r="Q20" s="151">
        <f t="shared" ref="Q20:Q42" si="11">D20</f>
        <v>3</v>
      </c>
      <c r="R20" s="151">
        <f t="shared" ref="R20:R42" si="12">D20*G20</f>
        <v>3.3000000000000003</v>
      </c>
      <c r="S20" s="151">
        <f t="shared" ref="S20:S42" si="13">D20*H20</f>
        <v>3.5999999999999996</v>
      </c>
      <c r="T20" s="151">
        <f t="shared" ref="T20:T42" si="14">D20*I20</f>
        <v>3.9000000000000004</v>
      </c>
      <c r="U20" s="151">
        <f t="shared" ref="U20:U42" si="15">D20*J20</f>
        <v>2.4000000000000004</v>
      </c>
      <c r="V20" s="151">
        <f t="shared" ref="V20:V42" si="16">D20*K20</f>
        <v>2.7</v>
      </c>
      <c r="W20" s="151">
        <f t="shared" ref="W20:W42" si="17">D20*L20</f>
        <v>2.7</v>
      </c>
      <c r="X20" s="151">
        <f t="shared" ref="X20:X42" si="18">D20*M20</f>
        <v>2.7</v>
      </c>
      <c r="Y20" s="151">
        <f t="shared" ref="Y20:Y42" si="19">D20*N20</f>
        <v>3</v>
      </c>
      <c r="Z20" s="151">
        <f t="shared" ref="Z20:Z42" si="20">D20*O20</f>
        <v>3</v>
      </c>
      <c r="AA20" s="112">
        <f t="shared" si="10"/>
        <v>30.3</v>
      </c>
    </row>
    <row r="21" spans="1:27" ht="64.5" thickBot="1" x14ac:dyDescent="0.3">
      <c r="A21" s="724"/>
      <c r="B21" s="719"/>
      <c r="C21" s="138" t="s">
        <v>562</v>
      </c>
      <c r="D21" s="153">
        <v>5</v>
      </c>
      <c r="E21" s="153">
        <v>55</v>
      </c>
      <c r="F21" s="150">
        <v>0.3</v>
      </c>
      <c r="G21" s="150">
        <v>0.5</v>
      </c>
      <c r="H21" s="150">
        <v>0.8</v>
      </c>
      <c r="I21" s="150">
        <v>1</v>
      </c>
      <c r="J21" s="150">
        <v>1</v>
      </c>
      <c r="K21" s="150">
        <v>1</v>
      </c>
      <c r="L21" s="150">
        <v>1.2</v>
      </c>
      <c r="M21" s="150">
        <v>1.3</v>
      </c>
      <c r="N21" s="165">
        <v>1.5</v>
      </c>
      <c r="O21" s="150">
        <v>1.4</v>
      </c>
      <c r="P21" s="161"/>
      <c r="Q21" s="151">
        <f t="shared" si="11"/>
        <v>5</v>
      </c>
      <c r="R21" s="151">
        <f t="shared" si="12"/>
        <v>2.5</v>
      </c>
      <c r="S21" s="151">
        <f t="shared" si="13"/>
        <v>4</v>
      </c>
      <c r="T21" s="151">
        <f t="shared" si="14"/>
        <v>5</v>
      </c>
      <c r="U21" s="151">
        <f t="shared" si="15"/>
        <v>5</v>
      </c>
      <c r="V21" s="151">
        <f t="shared" si="16"/>
        <v>5</v>
      </c>
      <c r="W21" s="151">
        <f t="shared" si="17"/>
        <v>6</v>
      </c>
      <c r="X21" s="151">
        <f t="shared" si="18"/>
        <v>6.5</v>
      </c>
      <c r="Y21" s="151">
        <f t="shared" si="19"/>
        <v>7.5</v>
      </c>
      <c r="Z21" s="151">
        <f t="shared" si="20"/>
        <v>7</v>
      </c>
      <c r="AA21" s="112">
        <f t="shared" si="10"/>
        <v>53.5</v>
      </c>
    </row>
    <row r="22" spans="1:27" ht="26.25" thickBot="1" x14ac:dyDescent="0.3">
      <c r="A22" s="724"/>
      <c r="B22" s="716" t="s">
        <v>563</v>
      </c>
      <c r="C22" s="138" t="s">
        <v>564</v>
      </c>
      <c r="D22" s="153">
        <v>2</v>
      </c>
      <c r="E22" s="154">
        <v>42</v>
      </c>
      <c r="F22" s="150">
        <v>0.8</v>
      </c>
      <c r="G22" s="150">
        <v>0.9</v>
      </c>
      <c r="H22" s="150">
        <v>1</v>
      </c>
      <c r="I22" s="150">
        <v>1.5</v>
      </c>
      <c r="J22" s="150">
        <v>2</v>
      </c>
      <c r="K22" s="150">
        <v>2.25</v>
      </c>
      <c r="L22" s="150">
        <v>2.5</v>
      </c>
      <c r="M22" s="150">
        <v>3</v>
      </c>
      <c r="N22" s="165">
        <v>3.5</v>
      </c>
      <c r="O22" s="150">
        <v>2.5</v>
      </c>
      <c r="P22" s="161"/>
      <c r="Q22" s="151">
        <f t="shared" si="11"/>
        <v>2</v>
      </c>
      <c r="R22" s="151">
        <f t="shared" si="12"/>
        <v>1.8</v>
      </c>
      <c r="S22" s="151">
        <f t="shared" si="13"/>
        <v>2</v>
      </c>
      <c r="T22" s="151">
        <f t="shared" si="14"/>
        <v>3</v>
      </c>
      <c r="U22" s="151">
        <f t="shared" si="15"/>
        <v>4</v>
      </c>
      <c r="V22" s="151">
        <f t="shared" si="16"/>
        <v>4.5</v>
      </c>
      <c r="W22" s="151">
        <f t="shared" si="17"/>
        <v>5</v>
      </c>
      <c r="X22" s="151">
        <f t="shared" si="18"/>
        <v>6</v>
      </c>
      <c r="Y22" s="151">
        <f t="shared" si="19"/>
        <v>7</v>
      </c>
      <c r="Z22" s="151">
        <f t="shared" si="20"/>
        <v>5</v>
      </c>
      <c r="AA22" s="112">
        <f t="shared" si="10"/>
        <v>40.299999999999997</v>
      </c>
    </row>
    <row r="23" spans="1:27" ht="39" thickBot="1" x14ac:dyDescent="0.3">
      <c r="A23" s="724"/>
      <c r="B23" s="718"/>
      <c r="C23" s="138" t="s">
        <v>565</v>
      </c>
      <c r="D23" s="153">
        <v>1</v>
      </c>
      <c r="E23" s="154">
        <v>31</v>
      </c>
      <c r="F23" s="150">
        <v>1</v>
      </c>
      <c r="G23" s="150">
        <v>1.2</v>
      </c>
      <c r="H23" s="150">
        <v>2</v>
      </c>
      <c r="I23" s="150">
        <v>2.5</v>
      </c>
      <c r="J23" s="150">
        <v>3</v>
      </c>
      <c r="K23" s="150">
        <v>3.32</v>
      </c>
      <c r="L23" s="150">
        <v>3.1</v>
      </c>
      <c r="M23" s="150">
        <v>5.2</v>
      </c>
      <c r="N23" s="165">
        <v>8</v>
      </c>
      <c r="O23" s="150">
        <v>1</v>
      </c>
      <c r="P23" s="161"/>
      <c r="Q23" s="151">
        <f t="shared" si="11"/>
        <v>1</v>
      </c>
      <c r="R23" s="151">
        <f t="shared" si="12"/>
        <v>1.2</v>
      </c>
      <c r="S23" s="151">
        <f t="shared" si="13"/>
        <v>2</v>
      </c>
      <c r="T23" s="151">
        <f t="shared" si="14"/>
        <v>2.5</v>
      </c>
      <c r="U23" s="151">
        <f t="shared" si="15"/>
        <v>3</v>
      </c>
      <c r="V23" s="151">
        <f t="shared" si="16"/>
        <v>3.32</v>
      </c>
      <c r="W23" s="151">
        <f t="shared" si="17"/>
        <v>3.1</v>
      </c>
      <c r="X23" s="151">
        <f t="shared" si="18"/>
        <v>5.2</v>
      </c>
      <c r="Y23" s="151">
        <f t="shared" si="19"/>
        <v>8</v>
      </c>
      <c r="Z23" s="151">
        <f t="shared" si="20"/>
        <v>1</v>
      </c>
      <c r="AA23" s="112">
        <f t="shared" si="10"/>
        <v>30.32</v>
      </c>
    </row>
    <row r="24" spans="1:27" ht="39" thickBot="1" x14ac:dyDescent="0.3">
      <c r="A24" s="724"/>
      <c r="B24" s="718"/>
      <c r="C24" s="138" t="s">
        <v>566</v>
      </c>
      <c r="D24" s="153">
        <v>60</v>
      </c>
      <c r="E24" s="154">
        <v>460</v>
      </c>
      <c r="F24" s="150">
        <v>0.56000000000000005</v>
      </c>
      <c r="G24" s="150">
        <v>2</v>
      </c>
      <c r="H24" s="150">
        <v>3</v>
      </c>
      <c r="I24" s="150">
        <v>1.1000000000000001</v>
      </c>
      <c r="J24" s="150">
        <v>0</v>
      </c>
      <c r="K24" s="150">
        <v>0</v>
      </c>
      <c r="L24" s="150">
        <v>0</v>
      </c>
      <c r="M24" s="150">
        <v>0</v>
      </c>
      <c r="N24" s="165">
        <v>0</v>
      </c>
      <c r="O24" s="150">
        <v>0</v>
      </c>
      <c r="P24" s="161"/>
      <c r="Q24" s="151">
        <f t="shared" si="11"/>
        <v>60</v>
      </c>
      <c r="R24" s="151">
        <f t="shared" si="12"/>
        <v>120</v>
      </c>
      <c r="S24" s="151">
        <f t="shared" si="13"/>
        <v>180</v>
      </c>
      <c r="T24" s="151">
        <f t="shared" si="14"/>
        <v>66</v>
      </c>
      <c r="U24" s="151">
        <f t="shared" si="15"/>
        <v>0</v>
      </c>
      <c r="V24" s="151">
        <f t="shared" si="16"/>
        <v>0</v>
      </c>
      <c r="W24" s="151">
        <f t="shared" si="17"/>
        <v>0</v>
      </c>
      <c r="X24" s="151">
        <f t="shared" si="18"/>
        <v>0</v>
      </c>
      <c r="Y24" s="151">
        <f t="shared" si="19"/>
        <v>0</v>
      </c>
      <c r="Z24" s="151">
        <f t="shared" si="20"/>
        <v>0</v>
      </c>
      <c r="AA24" s="112">
        <f t="shared" si="10"/>
        <v>426</v>
      </c>
    </row>
    <row r="25" spans="1:27" ht="39" thickBot="1" x14ac:dyDescent="0.3">
      <c r="A25" s="724"/>
      <c r="B25" s="718"/>
      <c r="C25" s="138" t="s">
        <v>567</v>
      </c>
      <c r="D25" s="153">
        <v>1</v>
      </c>
      <c r="E25" s="154">
        <v>51</v>
      </c>
      <c r="F25" s="150">
        <v>0.9</v>
      </c>
      <c r="G25" s="150">
        <v>2</v>
      </c>
      <c r="H25" s="150">
        <v>3</v>
      </c>
      <c r="I25" s="150">
        <v>4</v>
      </c>
      <c r="J25" s="150">
        <v>5</v>
      </c>
      <c r="K25" s="150">
        <v>7</v>
      </c>
      <c r="L25" s="150">
        <v>6</v>
      </c>
      <c r="M25" s="150">
        <v>6</v>
      </c>
      <c r="N25" s="165">
        <v>7</v>
      </c>
      <c r="O25" s="150">
        <v>9</v>
      </c>
      <c r="P25" s="161"/>
      <c r="Q25" s="151">
        <f t="shared" si="11"/>
        <v>1</v>
      </c>
      <c r="R25" s="151">
        <f t="shared" si="12"/>
        <v>2</v>
      </c>
      <c r="S25" s="151">
        <f t="shared" si="13"/>
        <v>3</v>
      </c>
      <c r="T25" s="151">
        <f t="shared" si="14"/>
        <v>4</v>
      </c>
      <c r="U25" s="151">
        <f t="shared" si="15"/>
        <v>5</v>
      </c>
      <c r="V25" s="151">
        <f t="shared" si="16"/>
        <v>7</v>
      </c>
      <c r="W25" s="151">
        <f t="shared" si="17"/>
        <v>6</v>
      </c>
      <c r="X25" s="151">
        <f t="shared" si="18"/>
        <v>6</v>
      </c>
      <c r="Y25" s="151">
        <f t="shared" si="19"/>
        <v>7</v>
      </c>
      <c r="Z25" s="151">
        <f t="shared" si="20"/>
        <v>9</v>
      </c>
      <c r="AA25" s="112">
        <f t="shared" si="10"/>
        <v>50</v>
      </c>
    </row>
    <row r="26" spans="1:27" ht="15.75" thickBot="1" x14ac:dyDescent="0.3">
      <c r="A26" s="724"/>
      <c r="B26" s="718"/>
      <c r="C26" s="138" t="s">
        <v>568</v>
      </c>
      <c r="D26" s="153">
        <v>3</v>
      </c>
      <c r="E26" s="154">
        <v>43</v>
      </c>
      <c r="F26" s="150">
        <v>0.4</v>
      </c>
      <c r="G26" s="150">
        <v>0.7</v>
      </c>
      <c r="H26" s="150">
        <v>0.95</v>
      </c>
      <c r="I26" s="150">
        <v>0.9</v>
      </c>
      <c r="J26" s="150">
        <v>0.95</v>
      </c>
      <c r="K26" s="150">
        <v>1</v>
      </c>
      <c r="L26" s="150">
        <v>1.2</v>
      </c>
      <c r="M26" s="150">
        <v>1.9</v>
      </c>
      <c r="N26" s="165">
        <v>2.2000000000000002</v>
      </c>
      <c r="O26" s="150">
        <v>3</v>
      </c>
      <c r="P26" s="161"/>
      <c r="Q26" s="151">
        <f t="shared" si="11"/>
        <v>3</v>
      </c>
      <c r="R26" s="151">
        <f t="shared" si="12"/>
        <v>2.0999999999999996</v>
      </c>
      <c r="S26" s="151">
        <f t="shared" si="13"/>
        <v>2.8499999999999996</v>
      </c>
      <c r="T26" s="151">
        <f t="shared" si="14"/>
        <v>2.7</v>
      </c>
      <c r="U26" s="151">
        <f t="shared" si="15"/>
        <v>2.8499999999999996</v>
      </c>
      <c r="V26" s="151">
        <f t="shared" si="16"/>
        <v>3</v>
      </c>
      <c r="W26" s="151">
        <f t="shared" si="17"/>
        <v>3.5999999999999996</v>
      </c>
      <c r="X26" s="151">
        <f t="shared" si="18"/>
        <v>5.6999999999999993</v>
      </c>
      <c r="Y26" s="151">
        <f t="shared" si="19"/>
        <v>6.6000000000000005</v>
      </c>
      <c r="Z26" s="151">
        <f t="shared" si="20"/>
        <v>9</v>
      </c>
      <c r="AA26" s="112">
        <f t="shared" si="10"/>
        <v>41.4</v>
      </c>
    </row>
    <row r="27" spans="1:27" ht="39" thickBot="1" x14ac:dyDescent="0.3">
      <c r="A27" s="724"/>
      <c r="B27" s="719"/>
      <c r="C27" s="138" t="s">
        <v>569</v>
      </c>
      <c r="D27" s="153">
        <v>20</v>
      </c>
      <c r="E27" s="154">
        <v>220</v>
      </c>
      <c r="F27" s="150">
        <v>1</v>
      </c>
      <c r="G27" s="150">
        <v>0.9</v>
      </c>
      <c r="H27" s="150">
        <v>0.8</v>
      </c>
      <c r="I27" s="150">
        <v>0.6</v>
      </c>
      <c r="J27" s="150">
        <v>0.7</v>
      </c>
      <c r="K27" s="150">
        <v>0.9</v>
      </c>
      <c r="L27" s="150">
        <v>1</v>
      </c>
      <c r="M27" s="150">
        <v>1.4</v>
      </c>
      <c r="N27" s="165">
        <v>1.5</v>
      </c>
      <c r="O27" s="150">
        <v>1.2</v>
      </c>
      <c r="P27" s="161"/>
      <c r="Q27" s="151">
        <f t="shared" si="11"/>
        <v>20</v>
      </c>
      <c r="R27" s="151">
        <f t="shared" si="12"/>
        <v>18</v>
      </c>
      <c r="S27" s="151">
        <f t="shared" si="13"/>
        <v>16</v>
      </c>
      <c r="T27" s="151">
        <f t="shared" si="14"/>
        <v>12</v>
      </c>
      <c r="U27" s="151">
        <f t="shared" si="15"/>
        <v>14</v>
      </c>
      <c r="V27" s="151">
        <f t="shared" si="16"/>
        <v>18</v>
      </c>
      <c r="W27" s="151">
        <f t="shared" si="17"/>
        <v>20</v>
      </c>
      <c r="X27" s="151">
        <f t="shared" si="18"/>
        <v>28</v>
      </c>
      <c r="Y27" s="151">
        <f t="shared" si="19"/>
        <v>30</v>
      </c>
      <c r="Z27" s="151">
        <f t="shared" si="20"/>
        <v>24</v>
      </c>
      <c r="AA27" s="112">
        <f t="shared" si="10"/>
        <v>200</v>
      </c>
    </row>
    <row r="28" spans="1:27" ht="26.25" thickBot="1" x14ac:dyDescent="0.3">
      <c r="A28" s="724"/>
      <c r="B28" s="716" t="s">
        <v>570</v>
      </c>
      <c r="C28" s="138" t="s">
        <v>571</v>
      </c>
      <c r="D28" s="154">
        <v>80</v>
      </c>
      <c r="E28" s="154">
        <v>2540</v>
      </c>
      <c r="F28" s="150">
        <v>0.85</v>
      </c>
      <c r="G28" s="150">
        <v>2</v>
      </c>
      <c r="H28" s="150">
        <v>3.1</v>
      </c>
      <c r="I28" s="150">
        <v>3.8</v>
      </c>
      <c r="J28" s="150">
        <v>4.5</v>
      </c>
      <c r="K28" s="150">
        <v>4</v>
      </c>
      <c r="L28" s="150">
        <v>4.5</v>
      </c>
      <c r="M28" s="150">
        <v>3</v>
      </c>
      <c r="N28" s="165">
        <v>3</v>
      </c>
      <c r="O28" s="150">
        <v>2</v>
      </c>
      <c r="P28" s="161"/>
      <c r="Q28" s="151">
        <f t="shared" si="11"/>
        <v>80</v>
      </c>
      <c r="R28" s="151">
        <f t="shared" si="12"/>
        <v>160</v>
      </c>
      <c r="S28" s="151">
        <f t="shared" si="13"/>
        <v>248</v>
      </c>
      <c r="T28" s="151">
        <f t="shared" si="14"/>
        <v>304</v>
      </c>
      <c r="U28" s="151">
        <f t="shared" si="15"/>
        <v>360</v>
      </c>
      <c r="V28" s="151">
        <f t="shared" si="16"/>
        <v>320</v>
      </c>
      <c r="W28" s="151">
        <f t="shared" si="17"/>
        <v>360</v>
      </c>
      <c r="X28" s="151">
        <f t="shared" si="18"/>
        <v>240</v>
      </c>
      <c r="Y28" s="151">
        <f t="shared" si="19"/>
        <v>240</v>
      </c>
      <c r="Z28" s="151">
        <f t="shared" si="20"/>
        <v>160</v>
      </c>
      <c r="AA28" s="112">
        <f t="shared" si="10"/>
        <v>2472</v>
      </c>
    </row>
    <row r="29" spans="1:27" ht="39" thickBot="1" x14ac:dyDescent="0.3">
      <c r="A29" s="724"/>
      <c r="B29" s="718"/>
      <c r="C29" s="138" t="s">
        <v>572</v>
      </c>
      <c r="D29" s="154">
        <v>30</v>
      </c>
      <c r="E29" s="154">
        <v>330</v>
      </c>
      <c r="F29" s="150">
        <v>0.4</v>
      </c>
      <c r="G29" s="150">
        <v>0.5</v>
      </c>
      <c r="H29" s="150">
        <v>1</v>
      </c>
      <c r="I29" s="150">
        <v>1.5</v>
      </c>
      <c r="J29" s="150">
        <v>1.8</v>
      </c>
      <c r="K29" s="150">
        <v>1.6</v>
      </c>
      <c r="L29" s="150">
        <v>1.5</v>
      </c>
      <c r="M29" s="150">
        <v>1.4</v>
      </c>
      <c r="N29" s="165">
        <v>0.2</v>
      </c>
      <c r="O29" s="150">
        <v>0.1</v>
      </c>
      <c r="P29" s="161"/>
      <c r="Q29" s="151">
        <f t="shared" si="11"/>
        <v>30</v>
      </c>
      <c r="R29" s="151">
        <f t="shared" si="12"/>
        <v>15</v>
      </c>
      <c r="S29" s="151">
        <f t="shared" si="13"/>
        <v>30</v>
      </c>
      <c r="T29" s="151">
        <f t="shared" si="14"/>
        <v>45</v>
      </c>
      <c r="U29" s="151">
        <f t="shared" si="15"/>
        <v>54</v>
      </c>
      <c r="V29" s="151">
        <f t="shared" si="16"/>
        <v>48</v>
      </c>
      <c r="W29" s="151">
        <f t="shared" si="17"/>
        <v>45</v>
      </c>
      <c r="X29" s="151">
        <f t="shared" si="18"/>
        <v>42</v>
      </c>
      <c r="Y29" s="151">
        <f t="shared" si="19"/>
        <v>6</v>
      </c>
      <c r="Z29" s="151">
        <f t="shared" si="20"/>
        <v>3</v>
      </c>
      <c r="AA29" s="112">
        <f t="shared" si="10"/>
        <v>318</v>
      </c>
    </row>
    <row r="30" spans="1:27" ht="39" thickBot="1" x14ac:dyDescent="0.3">
      <c r="A30" s="724"/>
      <c r="B30" s="719"/>
      <c r="C30" s="138" t="s">
        <v>573</v>
      </c>
      <c r="D30" s="154">
        <v>4</v>
      </c>
      <c r="E30" s="154">
        <v>124</v>
      </c>
      <c r="F30" s="150">
        <v>0.5</v>
      </c>
      <c r="G30" s="150">
        <v>1</v>
      </c>
      <c r="H30" s="150">
        <v>2</v>
      </c>
      <c r="I30" s="150">
        <v>3</v>
      </c>
      <c r="J30" s="150">
        <v>4</v>
      </c>
      <c r="K30" s="150">
        <v>3</v>
      </c>
      <c r="L30" s="150">
        <v>3.5</v>
      </c>
      <c r="M30" s="150">
        <v>4</v>
      </c>
      <c r="N30" s="165">
        <v>4.5</v>
      </c>
      <c r="O30" s="150">
        <v>4.5999999999999996</v>
      </c>
      <c r="P30" s="161"/>
      <c r="Q30" s="151">
        <f t="shared" si="11"/>
        <v>4</v>
      </c>
      <c r="R30" s="151">
        <f t="shared" si="12"/>
        <v>4</v>
      </c>
      <c r="S30" s="151">
        <f t="shared" si="13"/>
        <v>8</v>
      </c>
      <c r="T30" s="151">
        <f t="shared" si="14"/>
        <v>12</v>
      </c>
      <c r="U30" s="151">
        <f t="shared" si="15"/>
        <v>16</v>
      </c>
      <c r="V30" s="151">
        <f t="shared" si="16"/>
        <v>12</v>
      </c>
      <c r="W30" s="151">
        <f t="shared" si="17"/>
        <v>14</v>
      </c>
      <c r="X30" s="151">
        <f t="shared" si="18"/>
        <v>16</v>
      </c>
      <c r="Y30" s="151">
        <f t="shared" si="19"/>
        <v>18</v>
      </c>
      <c r="Z30" s="151">
        <f t="shared" si="20"/>
        <v>18.399999999999999</v>
      </c>
      <c r="AA30" s="112">
        <f t="shared" si="10"/>
        <v>122.4</v>
      </c>
    </row>
    <row r="31" spans="1:27" ht="26.25" thickBot="1" x14ac:dyDescent="0.3">
      <c r="A31" s="724"/>
      <c r="B31" s="716" t="s">
        <v>574</v>
      </c>
      <c r="C31" s="138" t="s">
        <v>575</v>
      </c>
      <c r="D31" s="154">
        <v>49</v>
      </c>
      <c r="E31" s="154">
        <v>450</v>
      </c>
      <c r="F31" s="150">
        <v>0.5</v>
      </c>
      <c r="G31" s="150">
        <v>1</v>
      </c>
      <c r="H31" s="150">
        <v>0.9</v>
      </c>
      <c r="I31" s="150">
        <v>0.8</v>
      </c>
      <c r="J31" s="150">
        <v>1.2</v>
      </c>
      <c r="K31" s="150">
        <v>1</v>
      </c>
      <c r="L31" s="150">
        <v>0.69</v>
      </c>
      <c r="M31" s="150">
        <v>0.7</v>
      </c>
      <c r="N31" s="165">
        <v>0.8</v>
      </c>
      <c r="O31" s="150">
        <v>0.6</v>
      </c>
      <c r="P31" s="161"/>
      <c r="Q31" s="151">
        <f t="shared" si="11"/>
        <v>49</v>
      </c>
      <c r="R31" s="151">
        <f t="shared" si="12"/>
        <v>49</v>
      </c>
      <c r="S31" s="151">
        <f t="shared" si="13"/>
        <v>44.1</v>
      </c>
      <c r="T31" s="151">
        <f t="shared" si="14"/>
        <v>39.200000000000003</v>
      </c>
      <c r="U31" s="151">
        <f t="shared" si="15"/>
        <v>58.8</v>
      </c>
      <c r="V31" s="151">
        <f t="shared" si="16"/>
        <v>49</v>
      </c>
      <c r="W31" s="151">
        <f t="shared" si="17"/>
        <v>33.809999999999995</v>
      </c>
      <c r="X31" s="151">
        <f t="shared" si="18"/>
        <v>34.299999999999997</v>
      </c>
      <c r="Y31" s="151">
        <f t="shared" si="19"/>
        <v>39.200000000000003</v>
      </c>
      <c r="Z31" s="151">
        <f t="shared" si="20"/>
        <v>29.4</v>
      </c>
      <c r="AA31" s="112">
        <f t="shared" si="10"/>
        <v>425.81</v>
      </c>
    </row>
    <row r="32" spans="1:27" ht="26.25" thickBot="1" x14ac:dyDescent="0.3">
      <c r="A32" s="724"/>
      <c r="B32" s="719"/>
      <c r="C32" s="138" t="s">
        <v>576</v>
      </c>
      <c r="D32" s="154">
        <v>1</v>
      </c>
      <c r="E32" s="154">
        <v>11</v>
      </c>
      <c r="F32" s="150">
        <v>0.1</v>
      </c>
      <c r="G32" s="150">
        <v>0.2</v>
      </c>
      <c r="H32" s="150">
        <v>0.3</v>
      </c>
      <c r="I32" s="150">
        <v>0.8</v>
      </c>
      <c r="J32" s="150">
        <v>0.9</v>
      </c>
      <c r="K32" s="150">
        <v>1</v>
      </c>
      <c r="L32" s="150">
        <v>1.4</v>
      </c>
      <c r="M32" s="150">
        <v>1.6</v>
      </c>
      <c r="N32" s="165">
        <v>1.5</v>
      </c>
      <c r="O32" s="150">
        <v>1.8</v>
      </c>
      <c r="P32" s="161"/>
      <c r="Q32" s="151">
        <f t="shared" si="11"/>
        <v>1</v>
      </c>
      <c r="R32" s="151">
        <f t="shared" si="12"/>
        <v>0.2</v>
      </c>
      <c r="S32" s="151">
        <f t="shared" si="13"/>
        <v>0.3</v>
      </c>
      <c r="T32" s="151">
        <f t="shared" si="14"/>
        <v>0.8</v>
      </c>
      <c r="U32" s="151">
        <f t="shared" si="15"/>
        <v>0.9</v>
      </c>
      <c r="V32" s="151">
        <f t="shared" si="16"/>
        <v>1</v>
      </c>
      <c r="W32" s="151">
        <f t="shared" si="17"/>
        <v>1.4</v>
      </c>
      <c r="X32" s="151">
        <f t="shared" si="18"/>
        <v>1.6</v>
      </c>
      <c r="Y32" s="151">
        <f t="shared" si="19"/>
        <v>1.5</v>
      </c>
      <c r="Z32" s="151">
        <f t="shared" si="20"/>
        <v>1.8</v>
      </c>
      <c r="AA32" s="112">
        <f t="shared" si="10"/>
        <v>10.5</v>
      </c>
    </row>
    <row r="33" spans="1:27" ht="26.25" thickBot="1" x14ac:dyDescent="0.3">
      <c r="A33" s="724"/>
      <c r="B33" s="716" t="s">
        <v>577</v>
      </c>
      <c r="C33" s="138" t="s">
        <v>575</v>
      </c>
      <c r="D33" s="154">
        <v>10</v>
      </c>
      <c r="E33" s="154">
        <v>130</v>
      </c>
      <c r="F33" s="150">
        <v>0.2</v>
      </c>
      <c r="G33" s="150">
        <v>0.6</v>
      </c>
      <c r="H33" s="150">
        <v>0.9</v>
      </c>
      <c r="I33" s="150">
        <v>1.2</v>
      </c>
      <c r="J33" s="150">
        <v>1.5</v>
      </c>
      <c r="K33" s="150">
        <v>2</v>
      </c>
      <c r="L33" s="150">
        <v>2</v>
      </c>
      <c r="M33" s="150">
        <v>1.5</v>
      </c>
      <c r="N33" s="165">
        <v>1.4</v>
      </c>
      <c r="O33" s="150">
        <v>0.7</v>
      </c>
      <c r="P33" s="161"/>
      <c r="Q33" s="151">
        <f t="shared" si="11"/>
        <v>10</v>
      </c>
      <c r="R33" s="151">
        <f t="shared" si="12"/>
        <v>6</v>
      </c>
      <c r="S33" s="151">
        <f t="shared" si="13"/>
        <v>9</v>
      </c>
      <c r="T33" s="151">
        <f t="shared" si="14"/>
        <v>12</v>
      </c>
      <c r="U33" s="151">
        <f t="shared" si="15"/>
        <v>15</v>
      </c>
      <c r="V33" s="151">
        <f t="shared" si="16"/>
        <v>20</v>
      </c>
      <c r="W33" s="151">
        <f t="shared" si="17"/>
        <v>20</v>
      </c>
      <c r="X33" s="151">
        <f t="shared" si="18"/>
        <v>15</v>
      </c>
      <c r="Y33" s="151">
        <f t="shared" si="19"/>
        <v>14</v>
      </c>
      <c r="Z33" s="151">
        <f t="shared" si="20"/>
        <v>7</v>
      </c>
      <c r="AA33" s="112">
        <f t="shared" si="10"/>
        <v>128</v>
      </c>
    </row>
    <row r="34" spans="1:27" ht="15.75" thickBot="1" x14ac:dyDescent="0.3">
      <c r="A34" s="724"/>
      <c r="B34" s="719"/>
      <c r="C34" s="155" t="s">
        <v>578</v>
      </c>
      <c r="D34" s="154">
        <v>10</v>
      </c>
      <c r="E34" s="154">
        <v>130</v>
      </c>
      <c r="F34" s="150">
        <v>0.2</v>
      </c>
      <c r="G34" s="150">
        <v>0.6</v>
      </c>
      <c r="H34" s="150">
        <v>0.9</v>
      </c>
      <c r="I34" s="150">
        <v>1.2</v>
      </c>
      <c r="J34" s="150">
        <v>1.5</v>
      </c>
      <c r="K34" s="150">
        <v>2</v>
      </c>
      <c r="L34" s="150">
        <v>2</v>
      </c>
      <c r="M34" s="150">
        <v>1.5</v>
      </c>
      <c r="N34" s="165">
        <v>1.4</v>
      </c>
      <c r="O34" s="150">
        <v>0.7</v>
      </c>
      <c r="P34" s="161"/>
      <c r="Q34" s="151">
        <f t="shared" si="11"/>
        <v>10</v>
      </c>
      <c r="R34" s="151">
        <f t="shared" si="12"/>
        <v>6</v>
      </c>
      <c r="S34" s="151">
        <f t="shared" si="13"/>
        <v>9</v>
      </c>
      <c r="T34" s="151">
        <f t="shared" si="14"/>
        <v>12</v>
      </c>
      <c r="U34" s="151">
        <f t="shared" si="15"/>
        <v>15</v>
      </c>
      <c r="V34" s="151">
        <f t="shared" si="16"/>
        <v>20</v>
      </c>
      <c r="W34" s="151">
        <f t="shared" si="17"/>
        <v>20</v>
      </c>
      <c r="X34" s="151">
        <f t="shared" si="18"/>
        <v>15</v>
      </c>
      <c r="Y34" s="151">
        <f t="shared" si="19"/>
        <v>14</v>
      </c>
      <c r="Z34" s="151">
        <f t="shared" si="20"/>
        <v>7</v>
      </c>
      <c r="AA34" s="112">
        <f t="shared" si="10"/>
        <v>128</v>
      </c>
    </row>
    <row r="35" spans="1:27" ht="26.25" thickBot="1" x14ac:dyDescent="0.3">
      <c r="A35" s="724"/>
      <c r="B35" s="716" t="s">
        <v>579</v>
      </c>
      <c r="C35" s="138" t="s">
        <v>580</v>
      </c>
      <c r="D35" s="154">
        <v>0</v>
      </c>
      <c r="E35" s="154">
        <v>1</v>
      </c>
      <c r="F35" s="150">
        <v>0.1</v>
      </c>
      <c r="G35" s="150">
        <v>0.4</v>
      </c>
      <c r="H35" s="150">
        <v>0.5</v>
      </c>
      <c r="I35" s="150">
        <v>0</v>
      </c>
      <c r="J35" s="150">
        <v>0</v>
      </c>
      <c r="K35" s="150">
        <v>0</v>
      </c>
      <c r="L35" s="150">
        <v>0</v>
      </c>
      <c r="M35" s="150">
        <v>0</v>
      </c>
      <c r="N35" s="165">
        <v>0</v>
      </c>
      <c r="O35" s="150">
        <v>0</v>
      </c>
      <c r="P35" s="161"/>
      <c r="Q35" s="151">
        <f t="shared" si="11"/>
        <v>0</v>
      </c>
      <c r="R35" s="151">
        <f t="shared" si="12"/>
        <v>0</v>
      </c>
      <c r="S35" s="151">
        <f t="shared" si="13"/>
        <v>0</v>
      </c>
      <c r="T35" s="151">
        <f t="shared" si="14"/>
        <v>0</v>
      </c>
      <c r="U35" s="151">
        <f t="shared" si="15"/>
        <v>0</v>
      </c>
      <c r="V35" s="151">
        <f t="shared" si="16"/>
        <v>0</v>
      </c>
      <c r="W35" s="151">
        <f t="shared" si="17"/>
        <v>0</v>
      </c>
      <c r="X35" s="151">
        <f t="shared" si="18"/>
        <v>0</v>
      </c>
      <c r="Y35" s="151">
        <f t="shared" si="19"/>
        <v>0</v>
      </c>
      <c r="Z35" s="151">
        <f t="shared" si="20"/>
        <v>0</v>
      </c>
      <c r="AA35" s="112">
        <f t="shared" si="10"/>
        <v>0</v>
      </c>
    </row>
    <row r="36" spans="1:27" ht="26.25" thickBot="1" x14ac:dyDescent="0.3">
      <c r="A36" s="724"/>
      <c r="B36" s="717"/>
      <c r="C36" s="138" t="s">
        <v>581</v>
      </c>
      <c r="D36" s="154">
        <v>0</v>
      </c>
      <c r="E36" s="154">
        <v>1</v>
      </c>
      <c r="F36" s="150">
        <v>0.1</v>
      </c>
      <c r="G36" s="150">
        <v>0.4</v>
      </c>
      <c r="H36" s="150">
        <v>0.5</v>
      </c>
      <c r="I36" s="150">
        <v>0</v>
      </c>
      <c r="J36" s="150">
        <v>0</v>
      </c>
      <c r="K36" s="150">
        <v>0</v>
      </c>
      <c r="L36" s="150">
        <v>0</v>
      </c>
      <c r="M36" s="150">
        <v>0</v>
      </c>
      <c r="N36" s="165">
        <v>0</v>
      </c>
      <c r="O36" s="150">
        <v>0</v>
      </c>
      <c r="P36" s="161"/>
      <c r="Q36" s="151">
        <f t="shared" si="11"/>
        <v>0</v>
      </c>
      <c r="R36" s="151">
        <f t="shared" si="12"/>
        <v>0</v>
      </c>
      <c r="S36" s="151">
        <f t="shared" si="13"/>
        <v>0</v>
      </c>
      <c r="T36" s="151">
        <f t="shared" si="14"/>
        <v>0</v>
      </c>
      <c r="U36" s="151">
        <f t="shared" si="15"/>
        <v>0</v>
      </c>
      <c r="V36" s="151">
        <f t="shared" si="16"/>
        <v>0</v>
      </c>
      <c r="W36" s="151">
        <f t="shared" si="17"/>
        <v>0</v>
      </c>
      <c r="X36" s="151">
        <f t="shared" si="18"/>
        <v>0</v>
      </c>
      <c r="Y36" s="151">
        <f t="shared" si="19"/>
        <v>0</v>
      </c>
      <c r="Z36" s="151">
        <f t="shared" si="20"/>
        <v>0</v>
      </c>
      <c r="AA36" s="112">
        <f t="shared" si="10"/>
        <v>0</v>
      </c>
    </row>
    <row r="37" spans="1:27" ht="51.75" thickBot="1" x14ac:dyDescent="0.3">
      <c r="A37" s="724"/>
      <c r="B37" s="137" t="s">
        <v>582</v>
      </c>
      <c r="C37" s="138" t="s">
        <v>583</v>
      </c>
      <c r="D37" s="154">
        <v>2</v>
      </c>
      <c r="E37" s="154">
        <v>8</v>
      </c>
      <c r="F37" s="150">
        <v>0.5</v>
      </c>
      <c r="G37" s="150">
        <v>0.25</v>
      </c>
      <c r="H37" s="150">
        <v>0.12</v>
      </c>
      <c r="I37" s="150">
        <v>0.13</v>
      </c>
      <c r="J37" s="150">
        <v>0.15</v>
      </c>
      <c r="K37" s="150">
        <v>0.2</v>
      </c>
      <c r="L37" s="150">
        <v>0.4</v>
      </c>
      <c r="M37" s="150">
        <v>0.7</v>
      </c>
      <c r="N37" s="165">
        <v>0.5</v>
      </c>
      <c r="O37" s="150">
        <v>0.2</v>
      </c>
      <c r="P37" s="161"/>
      <c r="Q37" s="151">
        <f t="shared" si="11"/>
        <v>2</v>
      </c>
      <c r="R37" s="151">
        <f t="shared" si="12"/>
        <v>0.5</v>
      </c>
      <c r="S37" s="151">
        <f t="shared" si="13"/>
        <v>0.24</v>
      </c>
      <c r="T37" s="151">
        <f t="shared" si="14"/>
        <v>0.26</v>
      </c>
      <c r="U37" s="151">
        <f t="shared" si="15"/>
        <v>0.3</v>
      </c>
      <c r="V37" s="151">
        <f t="shared" si="16"/>
        <v>0.4</v>
      </c>
      <c r="W37" s="151">
        <f t="shared" si="17"/>
        <v>0.8</v>
      </c>
      <c r="X37" s="151">
        <f t="shared" si="18"/>
        <v>1.4</v>
      </c>
      <c r="Y37" s="151">
        <f t="shared" si="19"/>
        <v>1</v>
      </c>
      <c r="Z37" s="151">
        <f t="shared" si="20"/>
        <v>0.4</v>
      </c>
      <c r="AA37" s="112">
        <f t="shared" si="10"/>
        <v>7.3000000000000007</v>
      </c>
    </row>
    <row r="38" spans="1:27" ht="39" thickBot="1" x14ac:dyDescent="0.3">
      <c r="A38" s="724"/>
      <c r="B38" s="137" t="s">
        <v>584</v>
      </c>
      <c r="C38" s="138" t="s">
        <v>585</v>
      </c>
      <c r="D38" s="154">
        <v>1</v>
      </c>
      <c r="E38" s="154">
        <v>4</v>
      </c>
      <c r="F38" s="150">
        <v>0.1</v>
      </c>
      <c r="G38" s="150">
        <v>0.35</v>
      </c>
      <c r="H38" s="150">
        <v>0.7</v>
      </c>
      <c r="I38" s="150">
        <v>2</v>
      </c>
      <c r="J38" s="150">
        <v>0</v>
      </c>
      <c r="K38" s="150">
        <v>0</v>
      </c>
      <c r="L38" s="150">
        <v>0</v>
      </c>
      <c r="M38" s="150">
        <v>0</v>
      </c>
      <c r="N38" s="150">
        <v>0</v>
      </c>
      <c r="O38" s="165">
        <v>0</v>
      </c>
      <c r="P38" s="162"/>
      <c r="Q38" s="151">
        <f t="shared" si="11"/>
        <v>1</v>
      </c>
      <c r="R38" s="151">
        <f t="shared" si="12"/>
        <v>0.35</v>
      </c>
      <c r="S38" s="151">
        <f t="shared" si="13"/>
        <v>0.7</v>
      </c>
      <c r="T38" s="151">
        <f t="shared" si="14"/>
        <v>2</v>
      </c>
      <c r="U38" s="151">
        <f t="shared" si="15"/>
        <v>0</v>
      </c>
      <c r="V38" s="151">
        <f t="shared" si="16"/>
        <v>0</v>
      </c>
      <c r="W38" s="151">
        <f t="shared" si="17"/>
        <v>0</v>
      </c>
      <c r="X38" s="151">
        <f t="shared" si="18"/>
        <v>0</v>
      </c>
      <c r="Y38" s="151">
        <f t="shared" si="19"/>
        <v>0</v>
      </c>
      <c r="Z38" s="151">
        <f t="shared" si="20"/>
        <v>0</v>
      </c>
      <c r="AA38" s="112">
        <f t="shared" si="10"/>
        <v>4.05</v>
      </c>
    </row>
    <row r="39" spans="1:27" ht="51.75" thickBot="1" x14ac:dyDescent="0.3">
      <c r="A39" s="724"/>
      <c r="B39" s="716" t="s">
        <v>586</v>
      </c>
      <c r="C39" s="138" t="s">
        <v>587</v>
      </c>
      <c r="D39" s="154">
        <v>4</v>
      </c>
      <c r="E39" s="154">
        <v>9</v>
      </c>
      <c r="F39" s="150">
        <v>0.25</v>
      </c>
      <c r="G39" s="150">
        <v>0.2</v>
      </c>
      <c r="H39" s="150">
        <v>0.15</v>
      </c>
      <c r="I39" s="150">
        <v>0.2</v>
      </c>
      <c r="J39" s="150">
        <v>0.5</v>
      </c>
      <c r="K39" s="150">
        <v>0</v>
      </c>
      <c r="L39" s="150">
        <v>0</v>
      </c>
      <c r="M39" s="150">
        <v>0</v>
      </c>
      <c r="N39" s="150">
        <v>0</v>
      </c>
      <c r="O39" s="165">
        <v>0</v>
      </c>
      <c r="P39" s="162"/>
      <c r="Q39" s="151">
        <f t="shared" si="11"/>
        <v>4</v>
      </c>
      <c r="R39" s="151">
        <f t="shared" si="12"/>
        <v>0.8</v>
      </c>
      <c r="S39" s="151">
        <f t="shared" si="13"/>
        <v>0.6</v>
      </c>
      <c r="T39" s="151">
        <f t="shared" si="14"/>
        <v>0.8</v>
      </c>
      <c r="U39" s="151">
        <f t="shared" si="15"/>
        <v>2</v>
      </c>
      <c r="V39" s="151">
        <f t="shared" si="16"/>
        <v>0</v>
      </c>
      <c r="W39" s="151">
        <f t="shared" si="17"/>
        <v>0</v>
      </c>
      <c r="X39" s="151">
        <f t="shared" si="18"/>
        <v>0</v>
      </c>
      <c r="Y39" s="151">
        <f t="shared" si="19"/>
        <v>0</v>
      </c>
      <c r="Z39" s="151">
        <f t="shared" si="20"/>
        <v>0</v>
      </c>
      <c r="AA39" s="112">
        <f t="shared" si="10"/>
        <v>8.1999999999999993</v>
      </c>
    </row>
    <row r="40" spans="1:27" ht="39" thickBot="1" x14ac:dyDescent="0.3">
      <c r="A40" s="724"/>
      <c r="B40" s="718"/>
      <c r="C40" s="156" t="s">
        <v>588</v>
      </c>
      <c r="D40" s="157">
        <v>1</v>
      </c>
      <c r="E40" s="157">
        <v>21</v>
      </c>
      <c r="F40" s="150">
        <v>0.6</v>
      </c>
      <c r="G40" s="150">
        <v>0.5</v>
      </c>
      <c r="H40" s="150">
        <v>1</v>
      </c>
      <c r="I40" s="150">
        <v>2</v>
      </c>
      <c r="J40" s="150">
        <v>3</v>
      </c>
      <c r="K40" s="150">
        <v>3</v>
      </c>
      <c r="L40" s="150">
        <v>2</v>
      </c>
      <c r="M40" s="150">
        <v>3</v>
      </c>
      <c r="N40" s="150">
        <v>2</v>
      </c>
      <c r="O40" s="165">
        <v>2.5</v>
      </c>
      <c r="P40" s="162"/>
      <c r="Q40" s="151">
        <f t="shared" si="11"/>
        <v>1</v>
      </c>
      <c r="R40" s="151">
        <f t="shared" si="12"/>
        <v>0.5</v>
      </c>
      <c r="S40" s="151">
        <f t="shared" si="13"/>
        <v>1</v>
      </c>
      <c r="T40" s="151">
        <f t="shared" si="14"/>
        <v>2</v>
      </c>
      <c r="U40" s="151">
        <f t="shared" si="15"/>
        <v>3</v>
      </c>
      <c r="V40" s="151">
        <f t="shared" si="16"/>
        <v>3</v>
      </c>
      <c r="W40" s="151">
        <f t="shared" si="17"/>
        <v>2</v>
      </c>
      <c r="X40" s="151">
        <f t="shared" si="18"/>
        <v>3</v>
      </c>
      <c r="Y40" s="151">
        <f t="shared" si="19"/>
        <v>2</v>
      </c>
      <c r="Z40" s="151">
        <f t="shared" si="20"/>
        <v>2.5</v>
      </c>
      <c r="AA40" s="112">
        <f t="shared" si="10"/>
        <v>20</v>
      </c>
    </row>
    <row r="41" spans="1:27" ht="39" thickBot="1" x14ac:dyDescent="0.3">
      <c r="A41" s="724"/>
      <c r="B41" s="718"/>
      <c r="C41" s="158" t="s">
        <v>589</v>
      </c>
      <c r="D41" s="159">
        <v>11</v>
      </c>
      <c r="E41" s="159">
        <v>161</v>
      </c>
      <c r="F41" s="150">
        <v>0.6</v>
      </c>
      <c r="G41" s="150">
        <v>0.5</v>
      </c>
      <c r="H41" s="150">
        <v>1</v>
      </c>
      <c r="I41" s="150">
        <v>1.5</v>
      </c>
      <c r="J41" s="150">
        <v>1.7</v>
      </c>
      <c r="K41" s="150">
        <v>1.9</v>
      </c>
      <c r="L41" s="150">
        <v>2</v>
      </c>
      <c r="M41" s="150">
        <v>1.9</v>
      </c>
      <c r="N41" s="150">
        <v>1.5</v>
      </c>
      <c r="O41" s="165">
        <v>1</v>
      </c>
      <c r="P41" s="162"/>
      <c r="Q41" s="151">
        <f t="shared" si="11"/>
        <v>11</v>
      </c>
      <c r="R41" s="151">
        <f t="shared" si="12"/>
        <v>5.5</v>
      </c>
      <c r="S41" s="151">
        <f t="shared" si="13"/>
        <v>11</v>
      </c>
      <c r="T41" s="151">
        <f t="shared" si="14"/>
        <v>16.5</v>
      </c>
      <c r="U41" s="151">
        <f t="shared" si="15"/>
        <v>18.7</v>
      </c>
      <c r="V41" s="151">
        <f t="shared" si="16"/>
        <v>20.9</v>
      </c>
      <c r="W41" s="151">
        <f t="shared" si="17"/>
        <v>22</v>
      </c>
      <c r="X41" s="151">
        <f t="shared" si="18"/>
        <v>20.9</v>
      </c>
      <c r="Y41" s="151">
        <f t="shared" si="19"/>
        <v>16.5</v>
      </c>
      <c r="Z41" s="151">
        <f t="shared" si="20"/>
        <v>11</v>
      </c>
      <c r="AA41" s="112">
        <f t="shared" si="10"/>
        <v>154</v>
      </c>
    </row>
    <row r="42" spans="1:27" ht="39" thickBot="1" x14ac:dyDescent="0.3">
      <c r="A42" s="725"/>
      <c r="B42" s="719"/>
      <c r="C42" s="138" t="s">
        <v>590</v>
      </c>
      <c r="D42" s="154">
        <v>1</v>
      </c>
      <c r="E42" s="154">
        <v>1</v>
      </c>
      <c r="F42" s="150">
        <v>0.05</v>
      </c>
      <c r="G42" s="150">
        <v>0.09</v>
      </c>
      <c r="H42" s="150">
        <v>0.12</v>
      </c>
      <c r="I42" s="150">
        <v>0.13</v>
      </c>
      <c r="J42" s="150">
        <v>0</v>
      </c>
      <c r="K42" s="150">
        <v>0</v>
      </c>
      <c r="L42" s="150">
        <v>0</v>
      </c>
      <c r="M42" s="150">
        <v>0</v>
      </c>
      <c r="N42" s="165">
        <v>0</v>
      </c>
      <c r="O42" s="150">
        <v>0</v>
      </c>
      <c r="P42" s="161"/>
      <c r="Q42" s="151">
        <f t="shared" si="11"/>
        <v>1</v>
      </c>
      <c r="R42" s="151">
        <f t="shared" si="12"/>
        <v>0.09</v>
      </c>
      <c r="S42" s="151">
        <f t="shared" si="13"/>
        <v>0.12</v>
      </c>
      <c r="T42" s="151">
        <f t="shared" si="14"/>
        <v>0.13</v>
      </c>
      <c r="U42" s="151">
        <f t="shared" si="15"/>
        <v>0</v>
      </c>
      <c r="V42" s="151">
        <f t="shared" si="16"/>
        <v>0</v>
      </c>
      <c r="W42" s="151">
        <f t="shared" si="17"/>
        <v>0</v>
      </c>
      <c r="X42" s="151">
        <f t="shared" si="18"/>
        <v>0</v>
      </c>
      <c r="Y42" s="151">
        <f t="shared" si="19"/>
        <v>0</v>
      </c>
      <c r="Z42" s="151">
        <f t="shared" si="20"/>
        <v>0</v>
      </c>
      <c r="AA42" s="112">
        <f t="shared" si="10"/>
        <v>1.3399999999999999</v>
      </c>
    </row>
    <row r="43" spans="1:27" x14ac:dyDescent="0.25">
      <c r="AA43" s="112"/>
    </row>
    <row r="44" spans="1:27" ht="15.75" thickBot="1" x14ac:dyDescent="0.3">
      <c r="AA44" s="112"/>
    </row>
    <row r="45" spans="1:27" ht="15.75" thickBot="1" x14ac:dyDescent="0.3">
      <c r="A45" s="720" t="s">
        <v>557</v>
      </c>
      <c r="B45" s="720" t="s">
        <v>532</v>
      </c>
      <c r="C45" s="720" t="s">
        <v>533</v>
      </c>
      <c r="D45" s="720" t="s">
        <v>534</v>
      </c>
      <c r="E45" s="720" t="s">
        <v>535</v>
      </c>
      <c r="F45" s="713" t="s">
        <v>536</v>
      </c>
      <c r="G45" s="714"/>
      <c r="H45" s="714"/>
      <c r="I45" s="714"/>
      <c r="J45" s="714"/>
      <c r="K45" s="714"/>
      <c r="L45" s="714"/>
      <c r="M45" s="714"/>
      <c r="N45" s="714"/>
      <c r="O45" s="715"/>
      <c r="Q45" s="713" t="s">
        <v>536</v>
      </c>
      <c r="R45" s="714"/>
      <c r="S45" s="714"/>
      <c r="T45" s="714"/>
      <c r="U45" s="714"/>
      <c r="V45" s="714"/>
      <c r="W45" s="714"/>
      <c r="X45" s="714"/>
      <c r="Y45" s="714"/>
      <c r="Z45" s="715"/>
      <c r="AA45" s="112"/>
    </row>
    <row r="46" spans="1:27" ht="15.75" thickBot="1" x14ac:dyDescent="0.3">
      <c r="A46" s="721"/>
      <c r="B46" s="721"/>
      <c r="C46" s="721"/>
      <c r="D46" s="722"/>
      <c r="E46" s="722"/>
      <c r="F46" s="166">
        <v>2015</v>
      </c>
      <c r="G46" s="166">
        <v>2016</v>
      </c>
      <c r="H46" s="166">
        <v>2017</v>
      </c>
      <c r="I46" s="166">
        <v>2018</v>
      </c>
      <c r="J46" s="166">
        <v>2019</v>
      </c>
      <c r="K46" s="166">
        <v>2020</v>
      </c>
      <c r="L46" s="166">
        <v>2021</v>
      </c>
      <c r="M46" s="166">
        <v>2022</v>
      </c>
      <c r="N46" s="166">
        <v>2023</v>
      </c>
      <c r="O46" s="166">
        <v>2024</v>
      </c>
      <c r="Q46" s="166">
        <v>2015</v>
      </c>
      <c r="R46" s="166">
        <v>2016</v>
      </c>
      <c r="S46" s="166">
        <v>2017</v>
      </c>
      <c r="T46" s="166">
        <v>2018</v>
      </c>
      <c r="U46" s="166">
        <v>2019</v>
      </c>
      <c r="V46" s="166">
        <v>2020</v>
      </c>
      <c r="W46" s="166">
        <v>2021</v>
      </c>
      <c r="X46" s="166">
        <v>2022</v>
      </c>
      <c r="Y46" s="166">
        <v>2023</v>
      </c>
      <c r="Z46" s="166">
        <v>2024</v>
      </c>
      <c r="AA46" s="112"/>
    </row>
    <row r="47" spans="1:27" ht="26.25" thickBot="1" x14ac:dyDescent="0.3">
      <c r="A47" s="726" t="s">
        <v>207</v>
      </c>
      <c r="B47" s="729" t="s">
        <v>591</v>
      </c>
      <c r="C47" s="147" t="s">
        <v>592</v>
      </c>
      <c r="D47" s="167">
        <v>0</v>
      </c>
      <c r="E47" s="146">
        <v>1</v>
      </c>
      <c r="F47" s="146">
        <v>0.1</v>
      </c>
      <c r="G47" s="146">
        <v>0.1</v>
      </c>
      <c r="H47" s="146">
        <v>0.1</v>
      </c>
      <c r="I47" s="146">
        <v>0.1</v>
      </c>
      <c r="J47" s="146">
        <v>0.1</v>
      </c>
      <c r="K47" s="146">
        <v>0.1</v>
      </c>
      <c r="L47" s="146">
        <v>0.1</v>
      </c>
      <c r="M47" s="146">
        <v>0.1</v>
      </c>
      <c r="N47" s="146">
        <v>0.1</v>
      </c>
      <c r="O47" s="146">
        <v>0.1</v>
      </c>
      <c r="Q47" s="151">
        <f>D47</f>
        <v>0</v>
      </c>
      <c r="R47" s="151">
        <f>D47*G47</f>
        <v>0</v>
      </c>
      <c r="S47" s="151">
        <f>D47*H47</f>
        <v>0</v>
      </c>
      <c r="T47" s="151">
        <f>D47*I47</f>
        <v>0</v>
      </c>
      <c r="U47" s="151">
        <f>D47*J47</f>
        <v>0</v>
      </c>
      <c r="V47" s="151">
        <f>D47*K47</f>
        <v>0</v>
      </c>
      <c r="W47" s="151">
        <f>D47*L47</f>
        <v>0</v>
      </c>
      <c r="X47" s="151">
        <f>D47*M47</f>
        <v>0</v>
      </c>
      <c r="Y47" s="151">
        <f>D47*N47</f>
        <v>0</v>
      </c>
      <c r="Z47" s="151">
        <f>D47*O47</f>
        <v>0</v>
      </c>
      <c r="AA47" s="112">
        <f t="shared" si="10"/>
        <v>0</v>
      </c>
    </row>
    <row r="48" spans="1:27" ht="39" thickBot="1" x14ac:dyDescent="0.3">
      <c r="A48" s="727"/>
      <c r="B48" s="718"/>
      <c r="C48" s="147" t="s">
        <v>593</v>
      </c>
      <c r="D48" s="167">
        <v>0</v>
      </c>
      <c r="E48" s="146">
        <v>1</v>
      </c>
      <c r="F48" s="146">
        <v>0.1</v>
      </c>
      <c r="G48" s="146">
        <v>0.1</v>
      </c>
      <c r="H48" s="146">
        <v>0.1</v>
      </c>
      <c r="I48" s="146">
        <v>0.1</v>
      </c>
      <c r="J48" s="146">
        <v>0.1</v>
      </c>
      <c r="K48" s="146">
        <v>0.1</v>
      </c>
      <c r="L48" s="146">
        <v>0.1</v>
      </c>
      <c r="M48" s="146">
        <v>0.1</v>
      </c>
      <c r="N48" s="146">
        <v>0.1</v>
      </c>
      <c r="O48" s="146">
        <v>0.1</v>
      </c>
      <c r="Q48" s="151">
        <f t="shared" ref="Q48:Q70" si="21">D48</f>
        <v>0</v>
      </c>
      <c r="R48" s="151">
        <f t="shared" ref="R48:R70" si="22">D48*G48</f>
        <v>0</v>
      </c>
      <c r="S48" s="151">
        <f t="shared" ref="S48:S70" si="23">D48*H48</f>
        <v>0</v>
      </c>
      <c r="T48" s="151">
        <f t="shared" ref="T48:T70" si="24">D48*I48</f>
        <v>0</v>
      </c>
      <c r="U48" s="151">
        <f t="shared" ref="U48:U70" si="25">D48*J48</f>
        <v>0</v>
      </c>
      <c r="V48" s="151">
        <f t="shared" ref="V48:V70" si="26">D48*K48</f>
        <v>0</v>
      </c>
      <c r="W48" s="151">
        <f t="shared" ref="W48:W70" si="27">D48*L48</f>
        <v>0</v>
      </c>
      <c r="X48" s="151">
        <f t="shared" ref="X48:X70" si="28">D48*M48</f>
        <v>0</v>
      </c>
      <c r="Y48" s="151">
        <f t="shared" ref="Y48:Y70" si="29">D48*N48</f>
        <v>0</v>
      </c>
      <c r="Z48" s="151">
        <f t="shared" ref="Z48:Z70" si="30">D48*O48</f>
        <v>0</v>
      </c>
      <c r="AA48" s="112">
        <f t="shared" si="10"/>
        <v>0</v>
      </c>
    </row>
    <row r="49" spans="1:27" ht="39" thickBot="1" x14ac:dyDescent="0.3">
      <c r="A49" s="727"/>
      <c r="B49" s="718"/>
      <c r="C49" s="147" t="s">
        <v>594</v>
      </c>
      <c r="D49" s="167">
        <v>201</v>
      </c>
      <c r="E49" s="167">
        <v>261</v>
      </c>
      <c r="F49" s="148">
        <v>0.03</v>
      </c>
      <c r="G49" s="148">
        <v>0.03</v>
      </c>
      <c r="H49" s="148">
        <v>0.03</v>
      </c>
      <c r="I49" s="148">
        <v>0.03</v>
      </c>
      <c r="J49" s="148">
        <v>0.03</v>
      </c>
      <c r="K49" s="148">
        <v>0.03</v>
      </c>
      <c r="L49" s="148">
        <v>0.03</v>
      </c>
      <c r="M49" s="148">
        <v>0.03</v>
      </c>
      <c r="N49" s="148">
        <v>0.03</v>
      </c>
      <c r="O49" s="148">
        <v>0.03</v>
      </c>
      <c r="Q49" s="151">
        <f t="shared" si="21"/>
        <v>201</v>
      </c>
      <c r="R49" s="151">
        <f t="shared" si="22"/>
        <v>6.0299999999999994</v>
      </c>
      <c r="S49" s="151">
        <f t="shared" si="23"/>
        <v>6.0299999999999994</v>
      </c>
      <c r="T49" s="151">
        <f t="shared" si="24"/>
        <v>6.0299999999999994</v>
      </c>
      <c r="U49" s="151">
        <f t="shared" si="25"/>
        <v>6.0299999999999994</v>
      </c>
      <c r="V49" s="151">
        <f t="shared" si="26"/>
        <v>6.0299999999999994</v>
      </c>
      <c r="W49" s="151">
        <f t="shared" si="27"/>
        <v>6.0299999999999994</v>
      </c>
      <c r="X49" s="151">
        <f t="shared" si="28"/>
        <v>6.0299999999999994</v>
      </c>
      <c r="Y49" s="151">
        <f t="shared" si="29"/>
        <v>6.0299999999999994</v>
      </c>
      <c r="Z49" s="151">
        <f t="shared" si="30"/>
        <v>6.0299999999999994</v>
      </c>
      <c r="AA49" s="112">
        <f t="shared" si="10"/>
        <v>255.27</v>
      </c>
    </row>
    <row r="50" spans="1:27" ht="39" thickBot="1" x14ac:dyDescent="0.3">
      <c r="A50" s="727"/>
      <c r="B50" s="719"/>
      <c r="C50" s="147" t="s">
        <v>595</v>
      </c>
      <c r="D50" s="167">
        <v>5</v>
      </c>
      <c r="E50" s="167">
        <v>50</v>
      </c>
      <c r="F50" s="148">
        <v>0</v>
      </c>
      <c r="G50" s="146">
        <v>0.1</v>
      </c>
      <c r="H50" s="146">
        <v>0.2</v>
      </c>
      <c r="I50" s="146">
        <v>0.4</v>
      </c>
      <c r="J50" s="146">
        <v>0.5</v>
      </c>
      <c r="K50" s="146">
        <v>0.8</v>
      </c>
      <c r="L50" s="146">
        <v>1</v>
      </c>
      <c r="M50" s="146">
        <v>2</v>
      </c>
      <c r="N50" s="146">
        <v>2</v>
      </c>
      <c r="O50" s="146">
        <v>2</v>
      </c>
      <c r="Q50" s="151">
        <f t="shared" si="21"/>
        <v>5</v>
      </c>
      <c r="R50" s="151">
        <f t="shared" si="22"/>
        <v>0.5</v>
      </c>
      <c r="S50" s="151">
        <f t="shared" si="23"/>
        <v>1</v>
      </c>
      <c r="T50" s="151">
        <f t="shared" si="24"/>
        <v>2</v>
      </c>
      <c r="U50" s="151">
        <f t="shared" si="25"/>
        <v>2.5</v>
      </c>
      <c r="V50" s="151">
        <f t="shared" si="26"/>
        <v>4</v>
      </c>
      <c r="W50" s="151">
        <f t="shared" si="27"/>
        <v>5</v>
      </c>
      <c r="X50" s="151">
        <f t="shared" si="28"/>
        <v>10</v>
      </c>
      <c r="Y50" s="151">
        <f t="shared" si="29"/>
        <v>10</v>
      </c>
      <c r="Z50" s="151">
        <f t="shared" si="30"/>
        <v>10</v>
      </c>
      <c r="AA50" s="112">
        <f t="shared" si="10"/>
        <v>50</v>
      </c>
    </row>
    <row r="51" spans="1:27" ht="39" thickBot="1" x14ac:dyDescent="0.3">
      <c r="A51" s="727"/>
      <c r="B51" s="137" t="s">
        <v>596</v>
      </c>
      <c r="C51" s="147" t="s">
        <v>597</v>
      </c>
      <c r="D51" s="167">
        <v>0</v>
      </c>
      <c r="E51" s="146">
        <v>1</v>
      </c>
      <c r="F51" s="146">
        <v>0.15</v>
      </c>
      <c r="G51" s="146">
        <v>0.15</v>
      </c>
      <c r="H51" s="146">
        <v>0.2</v>
      </c>
      <c r="I51" s="146">
        <v>0.2</v>
      </c>
      <c r="J51" s="146">
        <v>0.3</v>
      </c>
      <c r="K51" s="168">
        <v>0</v>
      </c>
      <c r="L51" s="168">
        <v>0</v>
      </c>
      <c r="M51" s="168">
        <v>0</v>
      </c>
      <c r="N51" s="168">
        <v>0</v>
      </c>
      <c r="O51" s="168">
        <v>0</v>
      </c>
      <c r="Q51" s="151">
        <f t="shared" si="21"/>
        <v>0</v>
      </c>
      <c r="R51" s="151">
        <f t="shared" si="22"/>
        <v>0</v>
      </c>
      <c r="S51" s="151">
        <f t="shared" si="23"/>
        <v>0</v>
      </c>
      <c r="T51" s="151">
        <f t="shared" si="24"/>
        <v>0</v>
      </c>
      <c r="U51" s="151">
        <f t="shared" si="25"/>
        <v>0</v>
      </c>
      <c r="V51" s="151">
        <f t="shared" si="26"/>
        <v>0</v>
      </c>
      <c r="W51" s="151">
        <f t="shared" si="27"/>
        <v>0</v>
      </c>
      <c r="X51" s="151">
        <f t="shared" si="28"/>
        <v>0</v>
      </c>
      <c r="Y51" s="151">
        <f t="shared" si="29"/>
        <v>0</v>
      </c>
      <c r="Z51" s="151">
        <f t="shared" si="30"/>
        <v>0</v>
      </c>
      <c r="AA51" s="112">
        <f t="shared" si="10"/>
        <v>0</v>
      </c>
    </row>
    <row r="52" spans="1:27" ht="39" thickBot="1" x14ac:dyDescent="0.3">
      <c r="A52" s="727"/>
      <c r="B52" s="716" t="s">
        <v>598</v>
      </c>
      <c r="C52" s="147" t="s">
        <v>599</v>
      </c>
      <c r="D52" s="167">
        <v>4</v>
      </c>
      <c r="E52" s="167">
        <v>51</v>
      </c>
      <c r="F52" s="146">
        <v>1.25</v>
      </c>
      <c r="G52" s="146">
        <v>1.25</v>
      </c>
      <c r="H52" s="146">
        <v>1.25</v>
      </c>
      <c r="I52" s="146">
        <v>1.25</v>
      </c>
      <c r="J52" s="146">
        <v>1.25</v>
      </c>
      <c r="K52" s="146">
        <v>1.25</v>
      </c>
      <c r="L52" s="146">
        <v>1.25</v>
      </c>
      <c r="M52" s="146">
        <v>1</v>
      </c>
      <c r="N52" s="146">
        <v>1</v>
      </c>
      <c r="O52" s="146">
        <v>1</v>
      </c>
      <c r="Q52" s="151">
        <f t="shared" si="21"/>
        <v>4</v>
      </c>
      <c r="R52" s="151">
        <f t="shared" si="22"/>
        <v>5</v>
      </c>
      <c r="S52" s="151">
        <f t="shared" si="23"/>
        <v>5</v>
      </c>
      <c r="T52" s="151">
        <f t="shared" si="24"/>
        <v>5</v>
      </c>
      <c r="U52" s="151">
        <f t="shared" si="25"/>
        <v>5</v>
      </c>
      <c r="V52" s="151">
        <f t="shared" si="26"/>
        <v>5</v>
      </c>
      <c r="W52" s="151">
        <f t="shared" si="27"/>
        <v>5</v>
      </c>
      <c r="X52" s="151">
        <f t="shared" si="28"/>
        <v>4</v>
      </c>
      <c r="Y52" s="151">
        <f t="shared" si="29"/>
        <v>4</v>
      </c>
      <c r="Z52" s="151">
        <f t="shared" si="30"/>
        <v>4</v>
      </c>
      <c r="AA52" s="112">
        <f t="shared" si="10"/>
        <v>46</v>
      </c>
    </row>
    <row r="53" spans="1:27" ht="39" thickBot="1" x14ac:dyDescent="0.3">
      <c r="A53" s="727"/>
      <c r="B53" s="718"/>
      <c r="C53" s="147" t="s">
        <v>600</v>
      </c>
      <c r="D53" s="167">
        <v>18</v>
      </c>
      <c r="E53" s="167">
        <v>200</v>
      </c>
      <c r="F53" s="146">
        <v>1.5</v>
      </c>
      <c r="G53" s="146">
        <v>1.5</v>
      </c>
      <c r="H53" s="146">
        <v>1.5</v>
      </c>
      <c r="I53" s="146">
        <v>2</v>
      </c>
      <c r="J53" s="146">
        <v>2</v>
      </c>
      <c r="K53" s="146">
        <v>1</v>
      </c>
      <c r="L53" s="146">
        <v>0.2</v>
      </c>
      <c r="M53" s="146">
        <v>0.2</v>
      </c>
      <c r="N53" s="146">
        <v>0.12</v>
      </c>
      <c r="O53" s="146">
        <v>0.11</v>
      </c>
      <c r="Q53" s="151">
        <f t="shared" si="21"/>
        <v>18</v>
      </c>
      <c r="R53" s="151">
        <f t="shared" si="22"/>
        <v>27</v>
      </c>
      <c r="S53" s="151">
        <f t="shared" si="23"/>
        <v>27</v>
      </c>
      <c r="T53" s="151">
        <f t="shared" si="24"/>
        <v>36</v>
      </c>
      <c r="U53" s="151">
        <f t="shared" si="25"/>
        <v>36</v>
      </c>
      <c r="V53" s="151">
        <f t="shared" si="26"/>
        <v>18</v>
      </c>
      <c r="W53" s="151">
        <f t="shared" si="27"/>
        <v>3.6</v>
      </c>
      <c r="X53" s="151">
        <f t="shared" si="28"/>
        <v>3.6</v>
      </c>
      <c r="Y53" s="151">
        <f t="shared" si="29"/>
        <v>2.16</v>
      </c>
      <c r="Z53" s="151">
        <f t="shared" si="30"/>
        <v>1.98</v>
      </c>
      <c r="AA53" s="112">
        <f t="shared" si="10"/>
        <v>173.33999999999997</v>
      </c>
    </row>
    <row r="54" spans="1:27" ht="39" thickBot="1" x14ac:dyDescent="0.3">
      <c r="A54" s="727"/>
      <c r="B54" s="718"/>
      <c r="C54" s="147" t="s">
        <v>601</v>
      </c>
      <c r="D54" s="167">
        <v>36</v>
      </c>
      <c r="E54" s="167">
        <v>400</v>
      </c>
      <c r="F54" s="146">
        <v>2</v>
      </c>
      <c r="G54" s="146">
        <v>1</v>
      </c>
      <c r="H54" s="146">
        <v>1.2</v>
      </c>
      <c r="I54" s="146">
        <v>1.2</v>
      </c>
      <c r="J54" s="146">
        <v>1.5</v>
      </c>
      <c r="K54" s="146">
        <v>1</v>
      </c>
      <c r="L54" s="146">
        <v>1</v>
      </c>
      <c r="M54" s="146">
        <v>1</v>
      </c>
      <c r="N54" s="146">
        <v>0.11</v>
      </c>
      <c r="O54" s="146">
        <v>0.11</v>
      </c>
      <c r="Q54" s="151">
        <f t="shared" si="21"/>
        <v>36</v>
      </c>
      <c r="R54" s="151">
        <f t="shared" si="22"/>
        <v>36</v>
      </c>
      <c r="S54" s="151">
        <f t="shared" si="23"/>
        <v>43.199999999999996</v>
      </c>
      <c r="T54" s="151">
        <f t="shared" si="24"/>
        <v>43.199999999999996</v>
      </c>
      <c r="U54" s="151">
        <f t="shared" si="25"/>
        <v>54</v>
      </c>
      <c r="V54" s="151">
        <f t="shared" si="26"/>
        <v>36</v>
      </c>
      <c r="W54" s="151">
        <f t="shared" si="27"/>
        <v>36</v>
      </c>
      <c r="X54" s="151">
        <f t="shared" si="28"/>
        <v>36</v>
      </c>
      <c r="Y54" s="151">
        <f t="shared" si="29"/>
        <v>3.96</v>
      </c>
      <c r="Z54" s="151">
        <f t="shared" si="30"/>
        <v>3.96</v>
      </c>
      <c r="AA54" s="112">
        <f t="shared" si="10"/>
        <v>328.31999999999994</v>
      </c>
    </row>
    <row r="55" spans="1:27" ht="26.25" thickBot="1" x14ac:dyDescent="0.3">
      <c r="A55" s="727"/>
      <c r="B55" s="718"/>
      <c r="C55" s="147" t="s">
        <v>602</v>
      </c>
      <c r="D55" s="167">
        <v>17</v>
      </c>
      <c r="E55" s="167">
        <v>200</v>
      </c>
      <c r="F55" s="146">
        <v>1.5</v>
      </c>
      <c r="G55" s="146">
        <v>1.2</v>
      </c>
      <c r="H55" s="146">
        <v>1.1000000000000001</v>
      </c>
      <c r="I55" s="146">
        <v>1</v>
      </c>
      <c r="J55" s="146">
        <v>1</v>
      </c>
      <c r="K55" s="146">
        <v>0.9</v>
      </c>
      <c r="L55" s="146">
        <v>0.9</v>
      </c>
      <c r="M55" s="146">
        <v>0.9</v>
      </c>
      <c r="N55" s="146">
        <v>1</v>
      </c>
      <c r="O55" s="146">
        <v>1.25</v>
      </c>
      <c r="Q55" s="151">
        <f t="shared" si="21"/>
        <v>17</v>
      </c>
      <c r="R55" s="151">
        <f t="shared" si="22"/>
        <v>20.399999999999999</v>
      </c>
      <c r="S55" s="151">
        <f t="shared" si="23"/>
        <v>18.700000000000003</v>
      </c>
      <c r="T55" s="151">
        <f t="shared" si="24"/>
        <v>17</v>
      </c>
      <c r="U55" s="151">
        <f t="shared" si="25"/>
        <v>17</v>
      </c>
      <c r="V55" s="151">
        <f t="shared" si="26"/>
        <v>15.3</v>
      </c>
      <c r="W55" s="151">
        <f t="shared" si="27"/>
        <v>15.3</v>
      </c>
      <c r="X55" s="151">
        <f t="shared" si="28"/>
        <v>15.3</v>
      </c>
      <c r="Y55" s="151">
        <f t="shared" si="29"/>
        <v>17</v>
      </c>
      <c r="Z55" s="151">
        <f t="shared" si="30"/>
        <v>21.25</v>
      </c>
      <c r="AA55" s="112">
        <f t="shared" si="10"/>
        <v>174.25</v>
      </c>
    </row>
    <row r="56" spans="1:27" ht="26.25" thickBot="1" x14ac:dyDescent="0.3">
      <c r="A56" s="727"/>
      <c r="B56" s="718"/>
      <c r="C56" s="147" t="s">
        <v>603</v>
      </c>
      <c r="D56" s="167">
        <v>2</v>
      </c>
      <c r="E56" s="167">
        <v>200</v>
      </c>
      <c r="F56" s="146">
        <v>9</v>
      </c>
      <c r="G56" s="146">
        <v>9</v>
      </c>
      <c r="H56" s="146">
        <v>9</v>
      </c>
      <c r="I56" s="146">
        <v>9</v>
      </c>
      <c r="J56" s="146">
        <v>9</v>
      </c>
      <c r="K56" s="146">
        <v>9</v>
      </c>
      <c r="L56" s="146">
        <v>9</v>
      </c>
      <c r="M56" s="146">
        <v>10</v>
      </c>
      <c r="N56" s="146">
        <v>10.9</v>
      </c>
      <c r="O56" s="146">
        <v>15</v>
      </c>
      <c r="Q56" s="151">
        <f t="shared" si="21"/>
        <v>2</v>
      </c>
      <c r="R56" s="151">
        <f t="shared" si="22"/>
        <v>18</v>
      </c>
      <c r="S56" s="151">
        <f t="shared" si="23"/>
        <v>18</v>
      </c>
      <c r="T56" s="151">
        <f t="shared" si="24"/>
        <v>18</v>
      </c>
      <c r="U56" s="151">
        <f t="shared" si="25"/>
        <v>18</v>
      </c>
      <c r="V56" s="151">
        <f t="shared" si="26"/>
        <v>18</v>
      </c>
      <c r="W56" s="151">
        <f t="shared" si="27"/>
        <v>18</v>
      </c>
      <c r="X56" s="151">
        <f t="shared" si="28"/>
        <v>20</v>
      </c>
      <c r="Y56" s="151">
        <f t="shared" si="29"/>
        <v>21.8</v>
      </c>
      <c r="Z56" s="151">
        <f t="shared" si="30"/>
        <v>30</v>
      </c>
      <c r="AA56" s="112">
        <f t="shared" si="10"/>
        <v>181.8</v>
      </c>
    </row>
    <row r="57" spans="1:27" ht="26.25" thickBot="1" x14ac:dyDescent="0.3">
      <c r="A57" s="727"/>
      <c r="B57" s="718"/>
      <c r="C57" s="147" t="s">
        <v>604</v>
      </c>
      <c r="D57" s="167">
        <v>6</v>
      </c>
      <c r="E57" s="167">
        <v>190</v>
      </c>
      <c r="F57" s="146">
        <v>4</v>
      </c>
      <c r="G57" s="146">
        <v>5</v>
      </c>
      <c r="H57" s="146">
        <v>8</v>
      </c>
      <c r="I57" s="146">
        <v>9</v>
      </c>
      <c r="J57" s="146">
        <v>9</v>
      </c>
      <c r="K57" s="146">
        <v>9</v>
      </c>
      <c r="L57" s="146">
        <v>9</v>
      </c>
      <c r="M57" s="146">
        <v>9</v>
      </c>
      <c r="N57" s="146">
        <v>9</v>
      </c>
      <c r="O57" s="146">
        <v>9</v>
      </c>
      <c r="Q57" s="151">
        <f t="shared" si="21"/>
        <v>6</v>
      </c>
      <c r="R57" s="151">
        <f t="shared" si="22"/>
        <v>30</v>
      </c>
      <c r="S57" s="151">
        <f t="shared" si="23"/>
        <v>48</v>
      </c>
      <c r="T57" s="151">
        <f t="shared" si="24"/>
        <v>54</v>
      </c>
      <c r="U57" s="151">
        <f t="shared" si="25"/>
        <v>54</v>
      </c>
      <c r="V57" s="151">
        <f t="shared" si="26"/>
        <v>54</v>
      </c>
      <c r="W57" s="151">
        <f t="shared" si="27"/>
        <v>54</v>
      </c>
      <c r="X57" s="151">
        <f t="shared" si="28"/>
        <v>54</v>
      </c>
      <c r="Y57" s="151">
        <f t="shared" si="29"/>
        <v>54</v>
      </c>
      <c r="Z57" s="151">
        <f t="shared" si="30"/>
        <v>54</v>
      </c>
      <c r="AA57" s="112">
        <f t="shared" si="10"/>
        <v>462</v>
      </c>
    </row>
    <row r="58" spans="1:27" ht="51.75" thickBot="1" x14ac:dyDescent="0.3">
      <c r="A58" s="727"/>
      <c r="B58" s="719"/>
      <c r="C58" s="147" t="s">
        <v>605</v>
      </c>
      <c r="D58" s="167">
        <v>0</v>
      </c>
      <c r="E58" s="146">
        <v>1</v>
      </c>
      <c r="F58" s="146">
        <v>0.1</v>
      </c>
      <c r="G58" s="146">
        <v>0.1</v>
      </c>
      <c r="H58" s="146">
        <v>0.1</v>
      </c>
      <c r="I58" s="146">
        <v>0.1</v>
      </c>
      <c r="J58" s="146">
        <v>0.1</v>
      </c>
      <c r="K58" s="146">
        <v>0.1</v>
      </c>
      <c r="L58" s="146">
        <v>0.1</v>
      </c>
      <c r="M58" s="146">
        <v>0.1</v>
      </c>
      <c r="N58" s="146">
        <v>0.1</v>
      </c>
      <c r="O58" s="146">
        <v>0.1</v>
      </c>
      <c r="Q58" s="151">
        <f t="shared" si="21"/>
        <v>0</v>
      </c>
      <c r="R58" s="151">
        <f t="shared" si="22"/>
        <v>0</v>
      </c>
      <c r="S58" s="151">
        <f t="shared" si="23"/>
        <v>0</v>
      </c>
      <c r="T58" s="151">
        <f t="shared" si="24"/>
        <v>0</v>
      </c>
      <c r="U58" s="151">
        <f t="shared" si="25"/>
        <v>0</v>
      </c>
      <c r="V58" s="151">
        <f t="shared" si="26"/>
        <v>0</v>
      </c>
      <c r="W58" s="151">
        <f t="shared" si="27"/>
        <v>0</v>
      </c>
      <c r="X58" s="151">
        <f t="shared" si="28"/>
        <v>0</v>
      </c>
      <c r="Y58" s="151">
        <f t="shared" si="29"/>
        <v>0</v>
      </c>
      <c r="Z58" s="151">
        <f t="shared" si="30"/>
        <v>0</v>
      </c>
      <c r="AA58" s="112">
        <f t="shared" si="10"/>
        <v>0</v>
      </c>
    </row>
    <row r="59" spans="1:27" ht="51.75" thickBot="1" x14ac:dyDescent="0.3">
      <c r="A59" s="727"/>
      <c r="B59" s="137" t="s">
        <v>606</v>
      </c>
      <c r="C59" s="147" t="s">
        <v>607</v>
      </c>
      <c r="D59" s="167">
        <v>0</v>
      </c>
      <c r="E59" s="146">
        <v>1</v>
      </c>
      <c r="F59" s="146">
        <v>0.5</v>
      </c>
      <c r="G59" s="146">
        <v>0.5</v>
      </c>
      <c r="H59" s="146">
        <v>0</v>
      </c>
      <c r="I59" s="146">
        <v>0</v>
      </c>
      <c r="J59" s="146">
        <v>0</v>
      </c>
      <c r="K59" s="168">
        <v>0</v>
      </c>
      <c r="L59" s="168">
        <v>0</v>
      </c>
      <c r="M59" s="168">
        <v>0</v>
      </c>
      <c r="N59" s="168">
        <v>0</v>
      </c>
      <c r="O59" s="168">
        <v>0</v>
      </c>
      <c r="Q59" s="151">
        <f t="shared" si="21"/>
        <v>0</v>
      </c>
      <c r="R59" s="151">
        <f t="shared" si="22"/>
        <v>0</v>
      </c>
      <c r="S59" s="151">
        <f t="shared" si="23"/>
        <v>0</v>
      </c>
      <c r="T59" s="151">
        <f t="shared" si="24"/>
        <v>0</v>
      </c>
      <c r="U59" s="151">
        <f t="shared" si="25"/>
        <v>0</v>
      </c>
      <c r="V59" s="151">
        <f t="shared" si="26"/>
        <v>0</v>
      </c>
      <c r="W59" s="151">
        <f t="shared" si="27"/>
        <v>0</v>
      </c>
      <c r="X59" s="151">
        <f t="shared" si="28"/>
        <v>0</v>
      </c>
      <c r="Y59" s="151">
        <f t="shared" si="29"/>
        <v>0</v>
      </c>
      <c r="Z59" s="151">
        <f t="shared" si="30"/>
        <v>0</v>
      </c>
      <c r="AA59" s="112">
        <f t="shared" si="10"/>
        <v>0</v>
      </c>
    </row>
    <row r="60" spans="1:27" ht="39" thickBot="1" x14ac:dyDescent="0.3">
      <c r="A60" s="727"/>
      <c r="B60" s="716" t="s">
        <v>608</v>
      </c>
      <c r="C60" s="147" t="s">
        <v>609</v>
      </c>
      <c r="D60" s="167">
        <v>0</v>
      </c>
      <c r="E60" s="167">
        <v>11</v>
      </c>
      <c r="F60" s="146">
        <v>0.1</v>
      </c>
      <c r="G60" s="146">
        <v>0.1</v>
      </c>
      <c r="H60" s="146">
        <v>0.1</v>
      </c>
      <c r="I60" s="146">
        <v>0.1</v>
      </c>
      <c r="J60" s="146">
        <v>0.1</v>
      </c>
      <c r="K60" s="146">
        <v>0.1</v>
      </c>
      <c r="L60" s="146">
        <v>0.1</v>
      </c>
      <c r="M60" s="146">
        <v>0.1</v>
      </c>
      <c r="N60" s="146">
        <v>0.1</v>
      </c>
      <c r="O60" s="146">
        <v>0.1</v>
      </c>
      <c r="Q60" s="151">
        <f t="shared" si="21"/>
        <v>0</v>
      </c>
      <c r="R60" s="151">
        <f t="shared" si="22"/>
        <v>0</v>
      </c>
      <c r="S60" s="151">
        <f t="shared" si="23"/>
        <v>0</v>
      </c>
      <c r="T60" s="151">
        <f t="shared" si="24"/>
        <v>0</v>
      </c>
      <c r="U60" s="151">
        <f t="shared" si="25"/>
        <v>0</v>
      </c>
      <c r="V60" s="151">
        <f t="shared" si="26"/>
        <v>0</v>
      </c>
      <c r="W60" s="151">
        <f t="shared" si="27"/>
        <v>0</v>
      </c>
      <c r="X60" s="151">
        <f t="shared" si="28"/>
        <v>0</v>
      </c>
      <c r="Y60" s="151">
        <f t="shared" si="29"/>
        <v>0</v>
      </c>
      <c r="Z60" s="151">
        <f t="shared" si="30"/>
        <v>0</v>
      </c>
      <c r="AA60" s="112">
        <f t="shared" si="10"/>
        <v>0</v>
      </c>
    </row>
    <row r="61" spans="1:27" ht="51.75" thickBot="1" x14ac:dyDescent="0.3">
      <c r="A61" s="727"/>
      <c r="B61" s="719"/>
      <c r="C61" s="147" t="s">
        <v>610</v>
      </c>
      <c r="D61" s="167">
        <v>0</v>
      </c>
      <c r="E61" s="167">
        <v>10</v>
      </c>
      <c r="F61" s="146">
        <v>0.1</v>
      </c>
      <c r="G61" s="146">
        <v>0.1</v>
      </c>
      <c r="H61" s="146">
        <v>0.1</v>
      </c>
      <c r="I61" s="146">
        <v>0.1</v>
      </c>
      <c r="J61" s="146">
        <v>0.1</v>
      </c>
      <c r="K61" s="146">
        <v>0.1</v>
      </c>
      <c r="L61" s="146">
        <v>0.1</v>
      </c>
      <c r="M61" s="146">
        <v>0.1</v>
      </c>
      <c r="N61" s="146">
        <v>0.1</v>
      </c>
      <c r="O61" s="146">
        <v>0.1</v>
      </c>
      <c r="Q61" s="151">
        <f t="shared" si="21"/>
        <v>0</v>
      </c>
      <c r="R61" s="151">
        <f t="shared" si="22"/>
        <v>0</v>
      </c>
      <c r="S61" s="151">
        <f t="shared" si="23"/>
        <v>0</v>
      </c>
      <c r="T61" s="151">
        <f t="shared" si="24"/>
        <v>0</v>
      </c>
      <c r="U61" s="151">
        <f t="shared" si="25"/>
        <v>0</v>
      </c>
      <c r="V61" s="151">
        <f t="shared" si="26"/>
        <v>0</v>
      </c>
      <c r="W61" s="151">
        <f t="shared" si="27"/>
        <v>0</v>
      </c>
      <c r="X61" s="151">
        <f t="shared" si="28"/>
        <v>0</v>
      </c>
      <c r="Y61" s="151">
        <f t="shared" si="29"/>
        <v>0</v>
      </c>
      <c r="Z61" s="151">
        <f t="shared" si="30"/>
        <v>0</v>
      </c>
      <c r="AA61" s="112">
        <f t="shared" si="10"/>
        <v>0</v>
      </c>
    </row>
    <row r="62" spans="1:27" ht="64.5" thickBot="1" x14ac:dyDescent="0.3">
      <c r="A62" s="727"/>
      <c r="B62" s="716" t="s">
        <v>611</v>
      </c>
      <c r="C62" s="138" t="s">
        <v>612</v>
      </c>
      <c r="D62" s="168">
        <v>0</v>
      </c>
      <c r="E62" s="168">
        <v>1</v>
      </c>
      <c r="F62" s="169">
        <v>0.3</v>
      </c>
      <c r="G62" s="169">
        <v>0.3</v>
      </c>
      <c r="H62" s="169">
        <v>0.4</v>
      </c>
      <c r="I62" s="169">
        <v>0</v>
      </c>
      <c r="J62" s="169">
        <v>0</v>
      </c>
      <c r="K62" s="169">
        <v>0</v>
      </c>
      <c r="L62" s="169">
        <v>0</v>
      </c>
      <c r="M62" s="169">
        <v>0</v>
      </c>
      <c r="N62" s="169">
        <v>0</v>
      </c>
      <c r="O62" s="169">
        <v>0</v>
      </c>
      <c r="Q62" s="151">
        <f t="shared" si="21"/>
        <v>0</v>
      </c>
      <c r="R62" s="151">
        <f t="shared" si="22"/>
        <v>0</v>
      </c>
      <c r="S62" s="151">
        <f t="shared" si="23"/>
        <v>0</v>
      </c>
      <c r="T62" s="151">
        <f t="shared" si="24"/>
        <v>0</v>
      </c>
      <c r="U62" s="151">
        <f t="shared" si="25"/>
        <v>0</v>
      </c>
      <c r="V62" s="151">
        <f t="shared" si="26"/>
        <v>0</v>
      </c>
      <c r="W62" s="151">
        <f t="shared" si="27"/>
        <v>0</v>
      </c>
      <c r="X62" s="151">
        <f t="shared" si="28"/>
        <v>0</v>
      </c>
      <c r="Y62" s="151">
        <f t="shared" si="29"/>
        <v>0</v>
      </c>
      <c r="Z62" s="151">
        <f t="shared" si="30"/>
        <v>0</v>
      </c>
      <c r="AA62" s="112">
        <f t="shared" si="10"/>
        <v>0</v>
      </c>
    </row>
    <row r="63" spans="1:27" ht="51.75" thickBot="1" x14ac:dyDescent="0.3">
      <c r="A63" s="727"/>
      <c r="B63" s="718"/>
      <c r="C63" s="138" t="s">
        <v>613</v>
      </c>
      <c r="D63" s="170">
        <v>0</v>
      </c>
      <c r="E63" s="170">
        <v>1</v>
      </c>
      <c r="F63" s="169">
        <v>0.5</v>
      </c>
      <c r="G63" s="169">
        <v>0.4</v>
      </c>
      <c r="H63" s="169">
        <v>0.1</v>
      </c>
      <c r="I63" s="169">
        <v>0</v>
      </c>
      <c r="J63" s="169">
        <v>0</v>
      </c>
      <c r="K63" s="169">
        <v>0</v>
      </c>
      <c r="L63" s="169">
        <v>0</v>
      </c>
      <c r="M63" s="169">
        <v>0</v>
      </c>
      <c r="N63" s="169">
        <v>0</v>
      </c>
      <c r="O63" s="169">
        <v>0</v>
      </c>
      <c r="Q63" s="151">
        <f t="shared" si="21"/>
        <v>0</v>
      </c>
      <c r="R63" s="151">
        <f t="shared" si="22"/>
        <v>0</v>
      </c>
      <c r="S63" s="151">
        <f t="shared" si="23"/>
        <v>0</v>
      </c>
      <c r="T63" s="151">
        <f t="shared" si="24"/>
        <v>0</v>
      </c>
      <c r="U63" s="151">
        <f t="shared" si="25"/>
        <v>0</v>
      </c>
      <c r="V63" s="151">
        <f t="shared" si="26"/>
        <v>0</v>
      </c>
      <c r="W63" s="151">
        <f t="shared" si="27"/>
        <v>0</v>
      </c>
      <c r="X63" s="151">
        <f t="shared" si="28"/>
        <v>0</v>
      </c>
      <c r="Y63" s="151">
        <f t="shared" si="29"/>
        <v>0</v>
      </c>
      <c r="Z63" s="151">
        <f t="shared" si="30"/>
        <v>0</v>
      </c>
      <c r="AA63" s="112">
        <f t="shared" si="10"/>
        <v>0</v>
      </c>
    </row>
    <row r="64" spans="1:27" ht="39" thickBot="1" x14ac:dyDescent="0.3">
      <c r="A64" s="727"/>
      <c r="B64" s="719"/>
      <c r="C64" s="138" t="s">
        <v>614</v>
      </c>
      <c r="D64" s="170">
        <v>0</v>
      </c>
      <c r="E64" s="170">
        <v>1</v>
      </c>
      <c r="F64" s="169">
        <v>0.5</v>
      </c>
      <c r="G64" s="169">
        <v>0.5</v>
      </c>
      <c r="H64" s="169">
        <v>0</v>
      </c>
      <c r="I64" s="169">
        <v>0</v>
      </c>
      <c r="J64" s="169">
        <v>0</v>
      </c>
      <c r="K64" s="169">
        <v>0</v>
      </c>
      <c r="L64" s="169">
        <v>0</v>
      </c>
      <c r="M64" s="169">
        <v>0</v>
      </c>
      <c r="N64" s="169">
        <v>0</v>
      </c>
      <c r="O64" s="169">
        <v>0</v>
      </c>
      <c r="Q64" s="151">
        <f t="shared" si="21"/>
        <v>0</v>
      </c>
      <c r="R64" s="151">
        <f t="shared" si="22"/>
        <v>0</v>
      </c>
      <c r="S64" s="151">
        <f t="shared" si="23"/>
        <v>0</v>
      </c>
      <c r="T64" s="151">
        <f t="shared" si="24"/>
        <v>0</v>
      </c>
      <c r="U64" s="151">
        <f t="shared" si="25"/>
        <v>0</v>
      </c>
      <c r="V64" s="151">
        <f t="shared" si="26"/>
        <v>0</v>
      </c>
      <c r="W64" s="151">
        <f t="shared" si="27"/>
        <v>0</v>
      </c>
      <c r="X64" s="151">
        <f t="shared" si="28"/>
        <v>0</v>
      </c>
      <c r="Y64" s="151">
        <f t="shared" si="29"/>
        <v>0</v>
      </c>
      <c r="Z64" s="151">
        <f t="shared" si="30"/>
        <v>0</v>
      </c>
      <c r="AA64" s="112">
        <f t="shared" si="10"/>
        <v>0</v>
      </c>
    </row>
    <row r="65" spans="1:27" ht="51.75" thickBot="1" x14ac:dyDescent="0.3">
      <c r="A65" s="727"/>
      <c r="B65" s="716" t="s">
        <v>615</v>
      </c>
      <c r="C65" s="147" t="s">
        <v>616</v>
      </c>
      <c r="D65" s="171">
        <v>0</v>
      </c>
      <c r="E65" s="172">
        <v>10</v>
      </c>
      <c r="F65" s="146">
        <v>0.1</v>
      </c>
      <c r="G65" s="146">
        <v>0.1</v>
      </c>
      <c r="H65" s="146">
        <v>0.1</v>
      </c>
      <c r="I65" s="146">
        <v>0.1</v>
      </c>
      <c r="J65" s="146">
        <v>0.1</v>
      </c>
      <c r="K65" s="146">
        <v>0.1</v>
      </c>
      <c r="L65" s="146">
        <v>0.1</v>
      </c>
      <c r="M65" s="146">
        <v>0.1</v>
      </c>
      <c r="N65" s="146">
        <v>0.1</v>
      </c>
      <c r="O65" s="146">
        <v>0.1</v>
      </c>
      <c r="Q65" s="151">
        <f t="shared" si="21"/>
        <v>0</v>
      </c>
      <c r="R65" s="151">
        <f t="shared" si="22"/>
        <v>0</v>
      </c>
      <c r="S65" s="151">
        <f t="shared" si="23"/>
        <v>0</v>
      </c>
      <c r="T65" s="151">
        <f t="shared" si="24"/>
        <v>0</v>
      </c>
      <c r="U65" s="151">
        <f t="shared" si="25"/>
        <v>0</v>
      </c>
      <c r="V65" s="151">
        <f t="shared" si="26"/>
        <v>0</v>
      </c>
      <c r="W65" s="151">
        <f t="shared" si="27"/>
        <v>0</v>
      </c>
      <c r="X65" s="151">
        <f t="shared" si="28"/>
        <v>0</v>
      </c>
      <c r="Y65" s="151">
        <f t="shared" si="29"/>
        <v>0</v>
      </c>
      <c r="Z65" s="151">
        <f t="shared" si="30"/>
        <v>0</v>
      </c>
      <c r="AA65" s="112">
        <f t="shared" si="10"/>
        <v>0</v>
      </c>
    </row>
    <row r="66" spans="1:27" ht="64.5" thickBot="1" x14ac:dyDescent="0.3">
      <c r="A66" s="727"/>
      <c r="B66" s="719"/>
      <c r="C66" s="147" t="s">
        <v>617</v>
      </c>
      <c r="D66" s="167">
        <v>0</v>
      </c>
      <c r="E66" s="167">
        <v>10</v>
      </c>
      <c r="F66" s="146">
        <v>0.1</v>
      </c>
      <c r="G66" s="146">
        <v>0.1</v>
      </c>
      <c r="H66" s="146">
        <v>0.1</v>
      </c>
      <c r="I66" s="146">
        <v>0.1</v>
      </c>
      <c r="J66" s="146">
        <v>0.1</v>
      </c>
      <c r="K66" s="146">
        <v>0.1</v>
      </c>
      <c r="L66" s="146">
        <v>0.1</v>
      </c>
      <c r="M66" s="146">
        <v>0.1</v>
      </c>
      <c r="N66" s="146">
        <v>0.1</v>
      </c>
      <c r="O66" s="146">
        <v>0.1</v>
      </c>
      <c r="Q66" s="151">
        <f t="shared" si="21"/>
        <v>0</v>
      </c>
      <c r="R66" s="151">
        <f t="shared" si="22"/>
        <v>0</v>
      </c>
      <c r="S66" s="151">
        <f t="shared" si="23"/>
        <v>0</v>
      </c>
      <c r="T66" s="151">
        <f t="shared" si="24"/>
        <v>0</v>
      </c>
      <c r="U66" s="151">
        <f t="shared" si="25"/>
        <v>0</v>
      </c>
      <c r="V66" s="151">
        <f t="shared" si="26"/>
        <v>0</v>
      </c>
      <c r="W66" s="151">
        <f t="shared" si="27"/>
        <v>0</v>
      </c>
      <c r="X66" s="151">
        <f t="shared" si="28"/>
        <v>0</v>
      </c>
      <c r="Y66" s="151">
        <f t="shared" si="29"/>
        <v>0</v>
      </c>
      <c r="Z66" s="151">
        <f t="shared" si="30"/>
        <v>0</v>
      </c>
      <c r="AA66" s="112">
        <f t="shared" si="10"/>
        <v>0</v>
      </c>
    </row>
    <row r="67" spans="1:27" ht="26.25" thickBot="1" x14ac:dyDescent="0.3">
      <c r="A67" s="727"/>
      <c r="B67" s="716" t="s">
        <v>618</v>
      </c>
      <c r="C67" s="138" t="s">
        <v>619</v>
      </c>
      <c r="D67" s="146">
        <v>0</v>
      </c>
      <c r="E67" s="169">
        <v>1</v>
      </c>
      <c r="F67" s="169">
        <v>0.25</v>
      </c>
      <c r="G67" s="169">
        <v>0.15</v>
      </c>
      <c r="H67" s="169">
        <v>0.15</v>
      </c>
      <c r="I67" s="169">
        <v>0.15</v>
      </c>
      <c r="J67" s="169">
        <v>0.15</v>
      </c>
      <c r="K67" s="169">
        <v>0.15</v>
      </c>
      <c r="L67" s="169">
        <v>0</v>
      </c>
      <c r="M67" s="169">
        <v>0</v>
      </c>
      <c r="N67" s="169">
        <v>0</v>
      </c>
      <c r="O67" s="169">
        <v>0</v>
      </c>
      <c r="Q67" s="151">
        <f t="shared" si="21"/>
        <v>0</v>
      </c>
      <c r="R67" s="151">
        <f t="shared" si="22"/>
        <v>0</v>
      </c>
      <c r="S67" s="151">
        <f t="shared" si="23"/>
        <v>0</v>
      </c>
      <c r="T67" s="151">
        <f t="shared" si="24"/>
        <v>0</v>
      </c>
      <c r="U67" s="151">
        <f t="shared" si="25"/>
        <v>0</v>
      </c>
      <c r="V67" s="151">
        <f t="shared" si="26"/>
        <v>0</v>
      </c>
      <c r="W67" s="151">
        <f t="shared" si="27"/>
        <v>0</v>
      </c>
      <c r="X67" s="151">
        <f t="shared" si="28"/>
        <v>0</v>
      </c>
      <c r="Y67" s="151">
        <f t="shared" si="29"/>
        <v>0</v>
      </c>
      <c r="Z67" s="151">
        <f t="shared" si="30"/>
        <v>0</v>
      </c>
      <c r="AA67" s="112">
        <f t="shared" si="10"/>
        <v>0</v>
      </c>
    </row>
    <row r="68" spans="1:27" ht="51.75" thickBot="1" x14ac:dyDescent="0.3">
      <c r="A68" s="727"/>
      <c r="B68" s="718"/>
      <c r="C68" s="138" t="s">
        <v>620</v>
      </c>
      <c r="D68" s="169">
        <v>0.1</v>
      </c>
      <c r="E68" s="173" t="s">
        <v>621</v>
      </c>
      <c r="F68" s="169">
        <v>0.15</v>
      </c>
      <c r="G68" s="169">
        <v>0.15</v>
      </c>
      <c r="H68" s="169">
        <v>0.15</v>
      </c>
      <c r="I68" s="169">
        <v>0.15</v>
      </c>
      <c r="J68" s="169">
        <v>0.1</v>
      </c>
      <c r="K68" s="169">
        <v>0.1</v>
      </c>
      <c r="L68" s="169">
        <v>0.1</v>
      </c>
      <c r="M68" s="169">
        <v>0</v>
      </c>
      <c r="N68" s="169">
        <v>0</v>
      </c>
      <c r="O68" s="169">
        <v>0</v>
      </c>
      <c r="Q68" s="151">
        <f t="shared" si="21"/>
        <v>0.1</v>
      </c>
      <c r="R68" s="151">
        <f t="shared" si="22"/>
        <v>1.4999999999999999E-2</v>
      </c>
      <c r="S68" s="151">
        <f t="shared" si="23"/>
        <v>1.4999999999999999E-2</v>
      </c>
      <c r="T68" s="151">
        <f t="shared" si="24"/>
        <v>1.4999999999999999E-2</v>
      </c>
      <c r="U68" s="151">
        <f t="shared" si="25"/>
        <v>1.0000000000000002E-2</v>
      </c>
      <c r="V68" s="151">
        <f t="shared" si="26"/>
        <v>1.0000000000000002E-2</v>
      </c>
      <c r="W68" s="151">
        <f t="shared" si="27"/>
        <v>1.0000000000000002E-2</v>
      </c>
      <c r="X68" s="151">
        <f t="shared" si="28"/>
        <v>0</v>
      </c>
      <c r="Y68" s="151">
        <f t="shared" si="29"/>
        <v>0</v>
      </c>
      <c r="Z68" s="151">
        <f t="shared" si="30"/>
        <v>0</v>
      </c>
      <c r="AA68" s="112">
        <f t="shared" si="10"/>
        <v>0.17500000000000004</v>
      </c>
    </row>
    <row r="69" spans="1:27" ht="15.75" thickBot="1" x14ac:dyDescent="0.3">
      <c r="A69" s="727"/>
      <c r="B69" s="718"/>
      <c r="C69" s="138" t="s">
        <v>622</v>
      </c>
      <c r="D69" s="169">
        <v>0.1</v>
      </c>
      <c r="E69" s="169">
        <v>1</v>
      </c>
      <c r="F69" s="169">
        <v>0.45</v>
      </c>
      <c r="G69" s="169">
        <v>0.45</v>
      </c>
      <c r="H69" s="169">
        <v>0</v>
      </c>
      <c r="I69" s="169">
        <v>0</v>
      </c>
      <c r="J69" s="169">
        <v>0</v>
      </c>
      <c r="K69" s="169">
        <v>0</v>
      </c>
      <c r="L69" s="169">
        <v>0</v>
      </c>
      <c r="M69" s="169">
        <v>0</v>
      </c>
      <c r="N69" s="169">
        <v>0</v>
      </c>
      <c r="O69" s="169">
        <v>0</v>
      </c>
      <c r="Q69" s="151">
        <f t="shared" si="21"/>
        <v>0.1</v>
      </c>
      <c r="R69" s="151">
        <f t="shared" si="22"/>
        <v>4.5000000000000005E-2</v>
      </c>
      <c r="S69" s="151">
        <f t="shared" si="23"/>
        <v>0</v>
      </c>
      <c r="T69" s="151">
        <f t="shared" si="24"/>
        <v>0</v>
      </c>
      <c r="U69" s="151">
        <f t="shared" si="25"/>
        <v>0</v>
      </c>
      <c r="V69" s="151">
        <f t="shared" si="26"/>
        <v>0</v>
      </c>
      <c r="W69" s="151">
        <f t="shared" si="27"/>
        <v>0</v>
      </c>
      <c r="X69" s="151">
        <f t="shared" si="28"/>
        <v>0</v>
      </c>
      <c r="Y69" s="151">
        <f t="shared" si="29"/>
        <v>0</v>
      </c>
      <c r="Z69" s="151">
        <f t="shared" si="30"/>
        <v>0</v>
      </c>
      <c r="AA69" s="112">
        <f t="shared" ref="AA69:AA97" si="31">SUM(Q69:Z69)</f>
        <v>0.14500000000000002</v>
      </c>
    </row>
    <row r="70" spans="1:27" ht="26.25" thickBot="1" x14ac:dyDescent="0.3">
      <c r="A70" s="728"/>
      <c r="B70" s="719"/>
      <c r="C70" s="138" t="s">
        <v>623</v>
      </c>
      <c r="D70" s="169">
        <v>0.5</v>
      </c>
      <c r="E70" s="169">
        <v>1</v>
      </c>
      <c r="F70" s="169">
        <v>0.05</v>
      </c>
      <c r="G70" s="169">
        <v>0.05</v>
      </c>
      <c r="H70" s="169">
        <v>0.05</v>
      </c>
      <c r="I70" s="169">
        <v>0.05</v>
      </c>
      <c r="J70" s="169">
        <v>0.05</v>
      </c>
      <c r="K70" s="169">
        <v>0.05</v>
      </c>
      <c r="L70" s="169">
        <v>0.05</v>
      </c>
      <c r="M70" s="169">
        <v>0.05</v>
      </c>
      <c r="N70" s="169">
        <v>0.05</v>
      </c>
      <c r="O70" s="169">
        <v>0.05</v>
      </c>
      <c r="Q70" s="151">
        <f t="shared" si="21"/>
        <v>0.5</v>
      </c>
      <c r="R70" s="151">
        <f t="shared" si="22"/>
        <v>2.5000000000000001E-2</v>
      </c>
      <c r="S70" s="151">
        <f t="shared" si="23"/>
        <v>2.5000000000000001E-2</v>
      </c>
      <c r="T70" s="151">
        <f t="shared" si="24"/>
        <v>2.5000000000000001E-2</v>
      </c>
      <c r="U70" s="151">
        <f t="shared" si="25"/>
        <v>2.5000000000000001E-2</v>
      </c>
      <c r="V70" s="151">
        <f t="shared" si="26"/>
        <v>2.5000000000000001E-2</v>
      </c>
      <c r="W70" s="151">
        <f t="shared" si="27"/>
        <v>2.5000000000000001E-2</v>
      </c>
      <c r="X70" s="151">
        <f t="shared" si="28"/>
        <v>2.5000000000000001E-2</v>
      </c>
      <c r="Y70" s="151">
        <f t="shared" si="29"/>
        <v>2.5000000000000001E-2</v>
      </c>
      <c r="Z70" s="151">
        <f t="shared" si="30"/>
        <v>2.5000000000000001E-2</v>
      </c>
      <c r="AA70" s="112">
        <f t="shared" si="31"/>
        <v>0.7250000000000002</v>
      </c>
    </row>
    <row r="71" spans="1:27" ht="15.75" thickBot="1" x14ac:dyDescent="0.3">
      <c r="AA71" s="112"/>
    </row>
    <row r="72" spans="1:27" ht="15.75" thickBot="1" x14ac:dyDescent="0.3">
      <c r="A72" s="739" t="s">
        <v>557</v>
      </c>
      <c r="B72" s="739" t="s">
        <v>532</v>
      </c>
      <c r="C72" s="741" t="s">
        <v>533</v>
      </c>
      <c r="D72" s="739" t="s">
        <v>534</v>
      </c>
      <c r="E72" s="739" t="s">
        <v>535</v>
      </c>
      <c r="F72" s="733" t="s">
        <v>536</v>
      </c>
      <c r="G72" s="734"/>
      <c r="H72" s="734"/>
      <c r="I72" s="734"/>
      <c r="J72" s="734"/>
      <c r="K72" s="734"/>
      <c r="L72" s="734"/>
      <c r="M72" s="734"/>
      <c r="N72" s="734"/>
      <c r="O72" s="735"/>
      <c r="Q72" s="733" t="s">
        <v>536</v>
      </c>
      <c r="R72" s="734"/>
      <c r="S72" s="734"/>
      <c r="T72" s="734"/>
      <c r="U72" s="734"/>
      <c r="V72" s="734"/>
      <c r="W72" s="734"/>
      <c r="X72" s="734"/>
      <c r="Y72" s="734"/>
      <c r="Z72" s="735"/>
      <c r="AA72" s="112"/>
    </row>
    <row r="73" spans="1:27" ht="15.75" thickBot="1" x14ac:dyDescent="0.3">
      <c r="A73" s="740"/>
      <c r="B73" s="740"/>
      <c r="C73" s="742"/>
      <c r="D73" s="740"/>
      <c r="E73" s="740"/>
      <c r="F73" s="174">
        <v>2015</v>
      </c>
      <c r="G73" s="174">
        <v>2016</v>
      </c>
      <c r="H73" s="174">
        <v>2017</v>
      </c>
      <c r="I73" s="174">
        <v>2018</v>
      </c>
      <c r="J73" s="174">
        <v>2019</v>
      </c>
      <c r="K73" s="174">
        <v>2020</v>
      </c>
      <c r="L73" s="174">
        <v>2021</v>
      </c>
      <c r="M73" s="174">
        <v>2022</v>
      </c>
      <c r="N73" s="174">
        <v>2023</v>
      </c>
      <c r="O73" s="174">
        <v>2024</v>
      </c>
      <c r="Q73" s="174">
        <v>2015</v>
      </c>
      <c r="R73" s="174">
        <v>2016</v>
      </c>
      <c r="S73" s="174">
        <v>2017</v>
      </c>
      <c r="T73" s="174">
        <v>2018</v>
      </c>
      <c r="U73" s="174">
        <v>2019</v>
      </c>
      <c r="V73" s="174">
        <v>2020</v>
      </c>
      <c r="W73" s="174">
        <v>2021</v>
      </c>
      <c r="X73" s="174">
        <v>2022</v>
      </c>
      <c r="Y73" s="174">
        <v>2023</v>
      </c>
      <c r="Z73" s="174">
        <v>2024</v>
      </c>
      <c r="AA73" s="112"/>
    </row>
    <row r="74" spans="1:27" ht="15.75" thickBot="1" x14ac:dyDescent="0.3">
      <c r="A74" s="736" t="s">
        <v>624</v>
      </c>
      <c r="B74" s="716" t="s">
        <v>625</v>
      </c>
      <c r="C74" s="138" t="s">
        <v>626</v>
      </c>
      <c r="D74" s="175">
        <v>1215</v>
      </c>
      <c r="E74" s="175">
        <v>1635</v>
      </c>
      <c r="F74" s="176">
        <v>0.03</v>
      </c>
      <c r="G74" s="176">
        <v>0.03</v>
      </c>
      <c r="H74" s="176">
        <v>0.03</v>
      </c>
      <c r="I74" s="176">
        <v>0.03</v>
      </c>
      <c r="J74" s="176">
        <v>0.03</v>
      </c>
      <c r="K74" s="176">
        <v>0.03</v>
      </c>
      <c r="L74" s="176">
        <v>0.04</v>
      </c>
      <c r="M74" s="176">
        <v>0.04</v>
      </c>
      <c r="N74" s="176">
        <v>0.04</v>
      </c>
      <c r="O74" s="176">
        <v>0.04</v>
      </c>
      <c r="Q74" s="151">
        <f>D74</f>
        <v>1215</v>
      </c>
      <c r="R74" s="151">
        <f>D74*G74+D74</f>
        <v>1251.45</v>
      </c>
      <c r="S74" s="151">
        <f>D74*H74</f>
        <v>36.449999999999996</v>
      </c>
      <c r="T74" s="151">
        <f>D74*I74</f>
        <v>36.449999999999996</v>
      </c>
      <c r="U74" s="151">
        <f>D74*J74</f>
        <v>36.449999999999996</v>
      </c>
      <c r="V74" s="151">
        <f>D74*K74</f>
        <v>36.449999999999996</v>
      </c>
      <c r="W74" s="151">
        <f>D74*L74</f>
        <v>48.6</v>
      </c>
      <c r="X74" s="151">
        <f>D74*M74</f>
        <v>48.6</v>
      </c>
      <c r="Y74" s="151">
        <f>D74*N74</f>
        <v>48.6</v>
      </c>
      <c r="Z74" s="151">
        <f>D74*O74</f>
        <v>48.6</v>
      </c>
      <c r="AA74" s="112">
        <f t="shared" si="31"/>
        <v>2806.6499999999987</v>
      </c>
    </row>
    <row r="75" spans="1:27" ht="15.75" thickBot="1" x14ac:dyDescent="0.3">
      <c r="A75" s="737"/>
      <c r="B75" s="718"/>
      <c r="C75" s="138" t="s">
        <v>627</v>
      </c>
      <c r="D75" s="175">
        <v>803</v>
      </c>
      <c r="E75" s="175">
        <v>1079</v>
      </c>
      <c r="F75" s="176">
        <v>0.03</v>
      </c>
      <c r="G75" s="176">
        <v>0.03</v>
      </c>
      <c r="H75" s="176">
        <v>0.03</v>
      </c>
      <c r="I75" s="176">
        <v>0.03</v>
      </c>
      <c r="J75" s="176">
        <v>0.03</v>
      </c>
      <c r="K75" s="176">
        <v>0.03</v>
      </c>
      <c r="L75" s="176">
        <v>0.04</v>
      </c>
      <c r="M75" s="176">
        <v>0.04</v>
      </c>
      <c r="N75" s="176">
        <v>0.04</v>
      </c>
      <c r="O75" s="176">
        <v>0.04</v>
      </c>
      <c r="Q75" s="151">
        <f t="shared" ref="Q75:Q97" si="32">D75</f>
        <v>803</v>
      </c>
      <c r="R75" s="151">
        <f t="shared" ref="R75:R97" si="33">D75*G75</f>
        <v>24.09</v>
      </c>
      <c r="S75" s="151">
        <f t="shared" ref="S75:S97" si="34">D75*H75</f>
        <v>24.09</v>
      </c>
      <c r="T75" s="151">
        <f t="shared" ref="T75:T97" si="35">D75*I75</f>
        <v>24.09</v>
      </c>
      <c r="U75" s="151">
        <f t="shared" ref="U75:U97" si="36">D75*J75</f>
        <v>24.09</v>
      </c>
      <c r="V75" s="151">
        <f t="shared" ref="V75:V97" si="37">D75*K75</f>
        <v>24.09</v>
      </c>
      <c r="W75" s="151">
        <f t="shared" ref="W75:W97" si="38">D75*L75</f>
        <v>32.119999999999997</v>
      </c>
      <c r="X75" s="151">
        <f t="shared" ref="X75:X97" si="39">D75*M75</f>
        <v>32.119999999999997</v>
      </c>
      <c r="Y75" s="151">
        <f t="shared" ref="Y75:Y97" si="40">D75*N75</f>
        <v>32.119999999999997</v>
      </c>
      <c r="Z75" s="151">
        <f t="shared" ref="Z75:Z97" si="41">D75*O75</f>
        <v>32.119999999999997</v>
      </c>
      <c r="AA75" s="112">
        <f t="shared" si="31"/>
        <v>1051.93</v>
      </c>
    </row>
    <row r="76" spans="1:27" ht="15.75" thickBot="1" x14ac:dyDescent="0.3">
      <c r="A76" s="737"/>
      <c r="B76" s="718"/>
      <c r="C76" s="138" t="s">
        <v>628</v>
      </c>
      <c r="D76" s="175">
        <v>814</v>
      </c>
      <c r="E76" s="175">
        <v>1094</v>
      </c>
      <c r="F76" s="176">
        <v>0.03</v>
      </c>
      <c r="G76" s="176">
        <v>0.03</v>
      </c>
      <c r="H76" s="176">
        <v>0.03</v>
      </c>
      <c r="I76" s="176">
        <v>0.03</v>
      </c>
      <c r="J76" s="176">
        <v>0.03</v>
      </c>
      <c r="K76" s="176">
        <v>0.03</v>
      </c>
      <c r="L76" s="176">
        <v>0.04</v>
      </c>
      <c r="M76" s="176">
        <v>0.04</v>
      </c>
      <c r="N76" s="176">
        <v>0.04</v>
      </c>
      <c r="O76" s="176">
        <v>0.04</v>
      </c>
      <c r="Q76" s="151">
        <f t="shared" si="32"/>
        <v>814</v>
      </c>
      <c r="R76" s="151">
        <f t="shared" si="33"/>
        <v>24.419999999999998</v>
      </c>
      <c r="S76" s="151">
        <f t="shared" si="34"/>
        <v>24.419999999999998</v>
      </c>
      <c r="T76" s="151">
        <f t="shared" si="35"/>
        <v>24.419999999999998</v>
      </c>
      <c r="U76" s="151">
        <f t="shared" si="36"/>
        <v>24.419999999999998</v>
      </c>
      <c r="V76" s="151">
        <f t="shared" si="37"/>
        <v>24.419999999999998</v>
      </c>
      <c r="W76" s="151">
        <f t="shared" si="38"/>
        <v>32.56</v>
      </c>
      <c r="X76" s="151">
        <f t="shared" si="39"/>
        <v>32.56</v>
      </c>
      <c r="Y76" s="151">
        <f t="shared" si="40"/>
        <v>32.56</v>
      </c>
      <c r="Z76" s="151">
        <f t="shared" si="41"/>
        <v>32.56</v>
      </c>
      <c r="AA76" s="112">
        <f t="shared" si="31"/>
        <v>1066.3399999999997</v>
      </c>
    </row>
    <row r="77" spans="1:27" ht="26.25" thickBot="1" x14ac:dyDescent="0.3">
      <c r="A77" s="737"/>
      <c r="B77" s="718"/>
      <c r="C77" s="138" t="s">
        <v>629</v>
      </c>
      <c r="D77" s="175">
        <v>1180</v>
      </c>
      <c r="E77" s="175">
        <v>1586</v>
      </c>
      <c r="F77" s="176">
        <v>0.03</v>
      </c>
      <c r="G77" s="176">
        <v>0.03</v>
      </c>
      <c r="H77" s="176">
        <v>0.03</v>
      </c>
      <c r="I77" s="176">
        <v>0.03</v>
      </c>
      <c r="J77" s="176">
        <v>0.03</v>
      </c>
      <c r="K77" s="176">
        <v>0.03</v>
      </c>
      <c r="L77" s="176">
        <v>0.04</v>
      </c>
      <c r="M77" s="176">
        <v>0.04</v>
      </c>
      <c r="N77" s="176">
        <v>0.04</v>
      </c>
      <c r="O77" s="176">
        <v>0.04</v>
      </c>
      <c r="Q77" s="151">
        <f t="shared" si="32"/>
        <v>1180</v>
      </c>
      <c r="R77" s="151">
        <f t="shared" si="33"/>
        <v>35.4</v>
      </c>
      <c r="S77" s="151">
        <f t="shared" si="34"/>
        <v>35.4</v>
      </c>
      <c r="T77" s="151">
        <f t="shared" si="35"/>
        <v>35.4</v>
      </c>
      <c r="U77" s="151">
        <f t="shared" si="36"/>
        <v>35.4</v>
      </c>
      <c r="V77" s="151">
        <f t="shared" si="37"/>
        <v>35.4</v>
      </c>
      <c r="W77" s="151">
        <f t="shared" si="38"/>
        <v>47.2</v>
      </c>
      <c r="X77" s="151">
        <f t="shared" si="39"/>
        <v>47.2</v>
      </c>
      <c r="Y77" s="151">
        <f t="shared" si="40"/>
        <v>47.2</v>
      </c>
      <c r="Z77" s="151">
        <f t="shared" si="41"/>
        <v>47.2</v>
      </c>
      <c r="AA77" s="112">
        <f t="shared" si="31"/>
        <v>1545.8000000000006</v>
      </c>
    </row>
    <row r="78" spans="1:27" ht="15.75" thickBot="1" x14ac:dyDescent="0.3">
      <c r="A78" s="737"/>
      <c r="B78" s="718"/>
      <c r="C78" s="138" t="s">
        <v>630</v>
      </c>
      <c r="D78" s="175">
        <v>500</v>
      </c>
      <c r="E78" s="175">
        <v>672</v>
      </c>
      <c r="F78" s="176">
        <v>0.03</v>
      </c>
      <c r="G78" s="176">
        <v>0.03</v>
      </c>
      <c r="H78" s="176">
        <v>0.03</v>
      </c>
      <c r="I78" s="176">
        <v>0.03</v>
      </c>
      <c r="J78" s="176">
        <v>0.03</v>
      </c>
      <c r="K78" s="176">
        <v>0.03</v>
      </c>
      <c r="L78" s="176">
        <v>0.04</v>
      </c>
      <c r="M78" s="176">
        <v>0.04</v>
      </c>
      <c r="N78" s="176">
        <v>0.04</v>
      </c>
      <c r="O78" s="176">
        <v>0.04</v>
      </c>
      <c r="Q78" s="151">
        <f t="shared" si="32"/>
        <v>500</v>
      </c>
      <c r="R78" s="151">
        <f t="shared" si="33"/>
        <v>15</v>
      </c>
      <c r="S78" s="151">
        <f t="shared" si="34"/>
        <v>15</v>
      </c>
      <c r="T78" s="151">
        <f t="shared" si="35"/>
        <v>15</v>
      </c>
      <c r="U78" s="151">
        <f t="shared" si="36"/>
        <v>15</v>
      </c>
      <c r="V78" s="151">
        <f t="shared" si="37"/>
        <v>15</v>
      </c>
      <c r="W78" s="151">
        <f t="shared" si="38"/>
        <v>20</v>
      </c>
      <c r="X78" s="151">
        <f t="shared" si="39"/>
        <v>20</v>
      </c>
      <c r="Y78" s="151">
        <f t="shared" si="40"/>
        <v>20</v>
      </c>
      <c r="Z78" s="151">
        <f t="shared" si="41"/>
        <v>20</v>
      </c>
      <c r="AA78" s="112">
        <f t="shared" si="31"/>
        <v>655</v>
      </c>
    </row>
    <row r="79" spans="1:27" ht="15.75" thickBot="1" x14ac:dyDescent="0.3">
      <c r="A79" s="737"/>
      <c r="B79" s="719"/>
      <c r="C79" s="138" t="s">
        <v>631</v>
      </c>
      <c r="D79" s="175">
        <v>2635</v>
      </c>
      <c r="E79" s="175">
        <v>3541</v>
      </c>
      <c r="F79" s="176">
        <v>0.03</v>
      </c>
      <c r="G79" s="176">
        <v>0.03</v>
      </c>
      <c r="H79" s="176">
        <v>0.03</v>
      </c>
      <c r="I79" s="176">
        <v>0.03</v>
      </c>
      <c r="J79" s="176">
        <v>0.03</v>
      </c>
      <c r="K79" s="176">
        <v>0.03</v>
      </c>
      <c r="L79" s="176">
        <v>0.04</v>
      </c>
      <c r="M79" s="176">
        <v>0.04</v>
      </c>
      <c r="N79" s="176">
        <v>0.04</v>
      </c>
      <c r="O79" s="176">
        <v>0.04</v>
      </c>
      <c r="Q79" s="151">
        <f t="shared" si="32"/>
        <v>2635</v>
      </c>
      <c r="R79" s="151">
        <f t="shared" si="33"/>
        <v>79.05</v>
      </c>
      <c r="S79" s="151">
        <f t="shared" si="34"/>
        <v>79.05</v>
      </c>
      <c r="T79" s="151">
        <f t="shared" si="35"/>
        <v>79.05</v>
      </c>
      <c r="U79" s="151">
        <f t="shared" si="36"/>
        <v>79.05</v>
      </c>
      <c r="V79" s="151">
        <f t="shared" si="37"/>
        <v>79.05</v>
      </c>
      <c r="W79" s="151">
        <f t="shared" si="38"/>
        <v>105.4</v>
      </c>
      <c r="X79" s="151">
        <f t="shared" si="39"/>
        <v>105.4</v>
      </c>
      <c r="Y79" s="151">
        <f t="shared" si="40"/>
        <v>105.4</v>
      </c>
      <c r="Z79" s="151">
        <f t="shared" si="41"/>
        <v>105.4</v>
      </c>
      <c r="AA79" s="112">
        <f t="shared" si="31"/>
        <v>3451.8500000000013</v>
      </c>
    </row>
    <row r="80" spans="1:27" ht="26.25" thickBot="1" x14ac:dyDescent="0.3">
      <c r="A80" s="737"/>
      <c r="B80" s="716" t="s">
        <v>632</v>
      </c>
      <c r="C80" s="138" t="s">
        <v>633</v>
      </c>
      <c r="D80" s="175">
        <v>11306</v>
      </c>
      <c r="E80" s="175">
        <v>15194</v>
      </c>
      <c r="F80" s="176">
        <v>0.03</v>
      </c>
      <c r="G80" s="176">
        <v>0.03</v>
      </c>
      <c r="H80" s="176">
        <v>0.03</v>
      </c>
      <c r="I80" s="176">
        <v>0.03</v>
      </c>
      <c r="J80" s="176">
        <v>0.03</v>
      </c>
      <c r="K80" s="176">
        <v>0.03</v>
      </c>
      <c r="L80" s="176">
        <v>0.04</v>
      </c>
      <c r="M80" s="176">
        <v>0.04</v>
      </c>
      <c r="N80" s="176">
        <v>0.04</v>
      </c>
      <c r="O80" s="176">
        <v>0.04</v>
      </c>
      <c r="Q80" s="151">
        <f t="shared" si="32"/>
        <v>11306</v>
      </c>
      <c r="R80" s="151">
        <f t="shared" si="33"/>
        <v>339.18</v>
      </c>
      <c r="S80" s="151">
        <f t="shared" si="34"/>
        <v>339.18</v>
      </c>
      <c r="T80" s="151">
        <f t="shared" si="35"/>
        <v>339.18</v>
      </c>
      <c r="U80" s="151">
        <f t="shared" si="36"/>
        <v>339.18</v>
      </c>
      <c r="V80" s="151">
        <f t="shared" si="37"/>
        <v>339.18</v>
      </c>
      <c r="W80" s="151">
        <f t="shared" si="38"/>
        <v>452.24</v>
      </c>
      <c r="X80" s="151">
        <f t="shared" si="39"/>
        <v>452.24</v>
      </c>
      <c r="Y80" s="151">
        <f t="shared" si="40"/>
        <v>452.24</v>
      </c>
      <c r="Z80" s="151">
        <f t="shared" si="41"/>
        <v>452.24</v>
      </c>
      <c r="AA80" s="112">
        <f t="shared" si="31"/>
        <v>14810.86</v>
      </c>
    </row>
    <row r="81" spans="1:27" ht="26.25" thickBot="1" x14ac:dyDescent="0.3">
      <c r="A81" s="737"/>
      <c r="B81" s="718"/>
      <c r="C81" s="138" t="s">
        <v>634</v>
      </c>
      <c r="D81" s="175">
        <v>9078</v>
      </c>
      <c r="E81" s="175">
        <v>12234</v>
      </c>
      <c r="F81" s="176">
        <v>0.03</v>
      </c>
      <c r="G81" s="176">
        <v>0.03</v>
      </c>
      <c r="H81" s="176">
        <v>0.03</v>
      </c>
      <c r="I81" s="176">
        <v>0.03</v>
      </c>
      <c r="J81" s="176">
        <v>0.03</v>
      </c>
      <c r="K81" s="176">
        <v>0.03</v>
      </c>
      <c r="L81" s="176">
        <v>0.03</v>
      </c>
      <c r="M81" s="176">
        <v>0.04</v>
      </c>
      <c r="N81" s="176">
        <v>0.04</v>
      </c>
      <c r="O81" s="176">
        <v>0.04</v>
      </c>
      <c r="Q81" s="151">
        <f t="shared" si="32"/>
        <v>9078</v>
      </c>
      <c r="R81" s="151">
        <f t="shared" si="33"/>
        <v>272.33999999999997</v>
      </c>
      <c r="S81" s="151">
        <f t="shared" si="34"/>
        <v>272.33999999999997</v>
      </c>
      <c r="T81" s="151">
        <f t="shared" si="35"/>
        <v>272.33999999999997</v>
      </c>
      <c r="U81" s="151">
        <f t="shared" si="36"/>
        <v>272.33999999999997</v>
      </c>
      <c r="V81" s="151">
        <f t="shared" si="37"/>
        <v>272.33999999999997</v>
      </c>
      <c r="W81" s="151">
        <f t="shared" si="38"/>
        <v>272.33999999999997</v>
      </c>
      <c r="X81" s="151">
        <f t="shared" si="39"/>
        <v>363.12</v>
      </c>
      <c r="Y81" s="151">
        <f t="shared" si="40"/>
        <v>363.12</v>
      </c>
      <c r="Z81" s="151">
        <f t="shared" si="41"/>
        <v>363.12</v>
      </c>
      <c r="AA81" s="112">
        <f t="shared" si="31"/>
        <v>11801.400000000003</v>
      </c>
    </row>
    <row r="82" spans="1:27" ht="15.75" thickBot="1" x14ac:dyDescent="0.3">
      <c r="A82" s="737"/>
      <c r="B82" s="719"/>
      <c r="C82" s="138" t="s">
        <v>635</v>
      </c>
      <c r="D82" s="175">
        <v>199</v>
      </c>
      <c r="E82" s="175">
        <v>267</v>
      </c>
      <c r="F82" s="176">
        <v>0.03</v>
      </c>
      <c r="G82" s="176">
        <v>0.03</v>
      </c>
      <c r="H82" s="176">
        <v>0.03</v>
      </c>
      <c r="I82" s="176">
        <v>0.03</v>
      </c>
      <c r="J82" s="176">
        <v>0.03</v>
      </c>
      <c r="K82" s="176">
        <v>0.03</v>
      </c>
      <c r="L82" s="176">
        <v>0.04</v>
      </c>
      <c r="M82" s="176">
        <v>0.04</v>
      </c>
      <c r="N82" s="176">
        <v>0.04</v>
      </c>
      <c r="O82" s="176">
        <v>0.04</v>
      </c>
      <c r="Q82" s="151">
        <f t="shared" si="32"/>
        <v>199</v>
      </c>
      <c r="R82" s="151">
        <f t="shared" si="33"/>
        <v>5.97</v>
      </c>
      <c r="S82" s="151">
        <f t="shared" si="34"/>
        <v>5.97</v>
      </c>
      <c r="T82" s="151">
        <f t="shared" si="35"/>
        <v>5.97</v>
      </c>
      <c r="U82" s="151">
        <f t="shared" si="36"/>
        <v>5.97</v>
      </c>
      <c r="V82" s="151">
        <f t="shared" si="37"/>
        <v>5.97</v>
      </c>
      <c r="W82" s="151">
        <f t="shared" si="38"/>
        <v>7.96</v>
      </c>
      <c r="X82" s="151">
        <f t="shared" si="39"/>
        <v>7.96</v>
      </c>
      <c r="Y82" s="151">
        <f t="shared" si="40"/>
        <v>7.96</v>
      </c>
      <c r="Z82" s="151">
        <f t="shared" si="41"/>
        <v>7.96</v>
      </c>
      <c r="AA82" s="112">
        <f t="shared" si="31"/>
        <v>260.69</v>
      </c>
    </row>
    <row r="83" spans="1:27" ht="15.75" thickBot="1" x14ac:dyDescent="0.3">
      <c r="A83" s="737"/>
      <c r="B83" s="716" t="s">
        <v>636</v>
      </c>
      <c r="C83" s="138" t="s">
        <v>637</v>
      </c>
      <c r="D83" s="175">
        <v>520</v>
      </c>
      <c r="E83" s="175">
        <v>699</v>
      </c>
      <c r="F83" s="176">
        <v>0.03</v>
      </c>
      <c r="G83" s="176">
        <v>0.03</v>
      </c>
      <c r="H83" s="176">
        <v>0.03</v>
      </c>
      <c r="I83" s="176">
        <v>0.03</v>
      </c>
      <c r="J83" s="176">
        <v>0.03</v>
      </c>
      <c r="K83" s="176">
        <v>0.03</v>
      </c>
      <c r="L83" s="176">
        <v>0.04</v>
      </c>
      <c r="M83" s="176">
        <v>0.04</v>
      </c>
      <c r="N83" s="176">
        <v>0.04</v>
      </c>
      <c r="O83" s="176">
        <v>0.04</v>
      </c>
      <c r="Q83" s="151">
        <f t="shared" si="32"/>
        <v>520</v>
      </c>
      <c r="R83" s="151">
        <f t="shared" si="33"/>
        <v>15.6</v>
      </c>
      <c r="S83" s="151">
        <f t="shared" si="34"/>
        <v>15.6</v>
      </c>
      <c r="T83" s="151">
        <f t="shared" si="35"/>
        <v>15.6</v>
      </c>
      <c r="U83" s="151">
        <f t="shared" si="36"/>
        <v>15.6</v>
      </c>
      <c r="V83" s="151">
        <f t="shared" si="37"/>
        <v>15.6</v>
      </c>
      <c r="W83" s="151">
        <f t="shared" si="38"/>
        <v>20.8</v>
      </c>
      <c r="X83" s="151">
        <f t="shared" si="39"/>
        <v>20.8</v>
      </c>
      <c r="Y83" s="151">
        <f t="shared" si="40"/>
        <v>20.8</v>
      </c>
      <c r="Z83" s="151">
        <f t="shared" si="41"/>
        <v>20.8</v>
      </c>
      <c r="AA83" s="112">
        <f t="shared" si="31"/>
        <v>681.19999999999993</v>
      </c>
    </row>
    <row r="84" spans="1:27" ht="26.25" thickBot="1" x14ac:dyDescent="0.3">
      <c r="A84" s="737"/>
      <c r="B84" s="718"/>
      <c r="C84" s="138" t="s">
        <v>638</v>
      </c>
      <c r="D84" s="175">
        <v>52975</v>
      </c>
      <c r="E84" s="175">
        <v>71194</v>
      </c>
      <c r="F84" s="176">
        <v>0.03</v>
      </c>
      <c r="G84" s="176">
        <v>0.03</v>
      </c>
      <c r="H84" s="176">
        <v>0.03</v>
      </c>
      <c r="I84" s="176">
        <v>0.03</v>
      </c>
      <c r="J84" s="176">
        <v>0.03</v>
      </c>
      <c r="K84" s="176">
        <v>0.03</v>
      </c>
      <c r="L84" s="176">
        <v>0.04</v>
      </c>
      <c r="M84" s="176">
        <v>0.04</v>
      </c>
      <c r="N84" s="176">
        <v>0.04</v>
      </c>
      <c r="O84" s="176">
        <v>0.04</v>
      </c>
      <c r="Q84" s="151">
        <f t="shared" si="32"/>
        <v>52975</v>
      </c>
      <c r="R84" s="151">
        <f t="shared" si="33"/>
        <v>1589.25</v>
      </c>
      <c r="S84" s="151">
        <f t="shared" si="34"/>
        <v>1589.25</v>
      </c>
      <c r="T84" s="151">
        <f t="shared" si="35"/>
        <v>1589.25</v>
      </c>
      <c r="U84" s="151">
        <f t="shared" si="36"/>
        <v>1589.25</v>
      </c>
      <c r="V84" s="151">
        <f t="shared" si="37"/>
        <v>1589.25</v>
      </c>
      <c r="W84" s="151">
        <f t="shared" si="38"/>
        <v>2119</v>
      </c>
      <c r="X84" s="151">
        <f t="shared" si="39"/>
        <v>2119</v>
      </c>
      <c r="Y84" s="151">
        <f t="shared" si="40"/>
        <v>2119</v>
      </c>
      <c r="Z84" s="151">
        <f t="shared" si="41"/>
        <v>2119</v>
      </c>
      <c r="AA84" s="112">
        <f t="shared" si="31"/>
        <v>69397.25</v>
      </c>
    </row>
    <row r="85" spans="1:27" ht="15.75" thickBot="1" x14ac:dyDescent="0.3">
      <c r="A85" s="737"/>
      <c r="B85" s="718"/>
      <c r="C85" s="138" t="s">
        <v>639</v>
      </c>
      <c r="D85" s="175">
        <v>1509</v>
      </c>
      <c r="E85" s="175">
        <v>2028</v>
      </c>
      <c r="F85" s="176">
        <v>0.03</v>
      </c>
      <c r="G85" s="176">
        <v>0.03</v>
      </c>
      <c r="H85" s="176">
        <v>0.03</v>
      </c>
      <c r="I85" s="176">
        <v>0.03</v>
      </c>
      <c r="J85" s="176">
        <v>0.03</v>
      </c>
      <c r="K85" s="176">
        <v>0.03</v>
      </c>
      <c r="L85" s="176">
        <v>0.04</v>
      </c>
      <c r="M85" s="176">
        <v>0.04</v>
      </c>
      <c r="N85" s="176">
        <v>0.04</v>
      </c>
      <c r="O85" s="176">
        <v>0.04</v>
      </c>
      <c r="Q85" s="151">
        <f t="shared" si="32"/>
        <v>1509</v>
      </c>
      <c r="R85" s="151">
        <f t="shared" si="33"/>
        <v>45.269999999999996</v>
      </c>
      <c r="S85" s="151">
        <f t="shared" si="34"/>
        <v>45.269999999999996</v>
      </c>
      <c r="T85" s="151">
        <f t="shared" si="35"/>
        <v>45.269999999999996</v>
      </c>
      <c r="U85" s="151">
        <f t="shared" si="36"/>
        <v>45.269999999999996</v>
      </c>
      <c r="V85" s="151">
        <f t="shared" si="37"/>
        <v>45.269999999999996</v>
      </c>
      <c r="W85" s="151">
        <f t="shared" si="38"/>
        <v>60.36</v>
      </c>
      <c r="X85" s="151">
        <f t="shared" si="39"/>
        <v>60.36</v>
      </c>
      <c r="Y85" s="151">
        <f t="shared" si="40"/>
        <v>60.36</v>
      </c>
      <c r="Z85" s="151">
        <f t="shared" si="41"/>
        <v>60.36</v>
      </c>
      <c r="AA85" s="112">
        <f t="shared" si="31"/>
        <v>1976.7899999999995</v>
      </c>
    </row>
    <row r="86" spans="1:27" ht="15.75" thickBot="1" x14ac:dyDescent="0.3">
      <c r="A86" s="737"/>
      <c r="B86" s="719"/>
      <c r="C86" s="138" t="s">
        <v>640</v>
      </c>
      <c r="D86" s="175">
        <v>531</v>
      </c>
      <c r="E86" s="175">
        <v>714</v>
      </c>
      <c r="F86" s="176">
        <v>0.03</v>
      </c>
      <c r="G86" s="176">
        <v>0.03</v>
      </c>
      <c r="H86" s="176">
        <v>0.03</v>
      </c>
      <c r="I86" s="176">
        <v>0.03</v>
      </c>
      <c r="J86" s="176">
        <v>0.03</v>
      </c>
      <c r="K86" s="176">
        <v>0.03</v>
      </c>
      <c r="L86" s="176">
        <v>0.04</v>
      </c>
      <c r="M86" s="176">
        <v>0.04</v>
      </c>
      <c r="N86" s="176">
        <v>0.04</v>
      </c>
      <c r="O86" s="176">
        <v>0.04</v>
      </c>
      <c r="Q86" s="151">
        <f t="shared" si="32"/>
        <v>531</v>
      </c>
      <c r="R86" s="151">
        <f t="shared" si="33"/>
        <v>15.93</v>
      </c>
      <c r="S86" s="151">
        <f t="shared" si="34"/>
        <v>15.93</v>
      </c>
      <c r="T86" s="151">
        <f t="shared" si="35"/>
        <v>15.93</v>
      </c>
      <c r="U86" s="151">
        <f t="shared" si="36"/>
        <v>15.93</v>
      </c>
      <c r="V86" s="151">
        <f t="shared" si="37"/>
        <v>15.93</v>
      </c>
      <c r="W86" s="151">
        <f t="shared" si="38"/>
        <v>21.240000000000002</v>
      </c>
      <c r="X86" s="151">
        <f t="shared" si="39"/>
        <v>21.240000000000002</v>
      </c>
      <c r="Y86" s="151">
        <f t="shared" si="40"/>
        <v>21.240000000000002</v>
      </c>
      <c r="Z86" s="151">
        <f t="shared" si="41"/>
        <v>21.240000000000002</v>
      </c>
      <c r="AA86" s="112">
        <f t="shared" si="31"/>
        <v>695.60999999999979</v>
      </c>
    </row>
    <row r="87" spans="1:27" ht="26.25" thickBot="1" x14ac:dyDescent="0.3">
      <c r="A87" s="737"/>
      <c r="B87" s="716" t="s">
        <v>641</v>
      </c>
      <c r="C87" s="138" t="s">
        <v>642</v>
      </c>
      <c r="D87" s="175">
        <v>50</v>
      </c>
      <c r="E87" s="175">
        <v>67</v>
      </c>
      <c r="F87" s="176">
        <v>0.03</v>
      </c>
      <c r="G87" s="176">
        <v>0.03</v>
      </c>
      <c r="H87" s="176">
        <v>0.03</v>
      </c>
      <c r="I87" s="176">
        <v>0.03</v>
      </c>
      <c r="J87" s="176">
        <v>0.03</v>
      </c>
      <c r="K87" s="176">
        <v>0.03</v>
      </c>
      <c r="L87" s="176">
        <v>0.04</v>
      </c>
      <c r="M87" s="176">
        <v>0.04</v>
      </c>
      <c r="N87" s="176">
        <v>0.04</v>
      </c>
      <c r="O87" s="176">
        <v>0.04</v>
      </c>
      <c r="Q87" s="151">
        <f t="shared" si="32"/>
        <v>50</v>
      </c>
      <c r="R87" s="151">
        <f t="shared" si="33"/>
        <v>1.5</v>
      </c>
      <c r="S87" s="151">
        <f t="shared" si="34"/>
        <v>1.5</v>
      </c>
      <c r="T87" s="151">
        <f t="shared" si="35"/>
        <v>1.5</v>
      </c>
      <c r="U87" s="151">
        <f t="shared" si="36"/>
        <v>1.5</v>
      </c>
      <c r="V87" s="151">
        <f t="shared" si="37"/>
        <v>1.5</v>
      </c>
      <c r="W87" s="151">
        <f t="shared" si="38"/>
        <v>2</v>
      </c>
      <c r="X87" s="151">
        <f t="shared" si="39"/>
        <v>2</v>
      </c>
      <c r="Y87" s="151">
        <f t="shared" si="40"/>
        <v>2</v>
      </c>
      <c r="Z87" s="151">
        <f t="shared" si="41"/>
        <v>2</v>
      </c>
      <c r="AA87" s="112">
        <f t="shared" si="31"/>
        <v>65.5</v>
      </c>
    </row>
    <row r="88" spans="1:27" ht="26.25" thickBot="1" x14ac:dyDescent="0.3">
      <c r="A88" s="737"/>
      <c r="B88" s="719"/>
      <c r="C88" s="138" t="s">
        <v>319</v>
      </c>
      <c r="D88" s="175">
        <v>10</v>
      </c>
      <c r="E88" s="175">
        <v>13</v>
      </c>
      <c r="F88" s="176">
        <v>0.03</v>
      </c>
      <c r="G88" s="176">
        <v>0.03</v>
      </c>
      <c r="H88" s="176">
        <v>0.03</v>
      </c>
      <c r="I88" s="176">
        <v>0.03</v>
      </c>
      <c r="J88" s="176">
        <v>0.03</v>
      </c>
      <c r="K88" s="176">
        <v>0.03</v>
      </c>
      <c r="L88" s="176">
        <v>0.04</v>
      </c>
      <c r="M88" s="176">
        <v>0.04</v>
      </c>
      <c r="N88" s="176">
        <v>0.04</v>
      </c>
      <c r="O88" s="176">
        <v>0.04</v>
      </c>
      <c r="Q88" s="151">
        <f t="shared" si="32"/>
        <v>10</v>
      </c>
      <c r="R88" s="151">
        <f t="shared" si="33"/>
        <v>0.3</v>
      </c>
      <c r="S88" s="151">
        <f t="shared" si="34"/>
        <v>0.3</v>
      </c>
      <c r="T88" s="151">
        <f t="shared" si="35"/>
        <v>0.3</v>
      </c>
      <c r="U88" s="151">
        <f t="shared" si="36"/>
        <v>0.3</v>
      </c>
      <c r="V88" s="151">
        <f t="shared" si="37"/>
        <v>0.3</v>
      </c>
      <c r="W88" s="151">
        <f t="shared" si="38"/>
        <v>0.4</v>
      </c>
      <c r="X88" s="151">
        <f t="shared" si="39"/>
        <v>0.4</v>
      </c>
      <c r="Y88" s="151">
        <f t="shared" si="40"/>
        <v>0.4</v>
      </c>
      <c r="Z88" s="151">
        <f t="shared" si="41"/>
        <v>0.4</v>
      </c>
      <c r="AA88" s="112">
        <f t="shared" si="31"/>
        <v>13.100000000000005</v>
      </c>
    </row>
    <row r="89" spans="1:27" ht="15.75" thickBot="1" x14ac:dyDescent="0.3">
      <c r="A89" s="737"/>
      <c r="B89" s="716" t="s">
        <v>643</v>
      </c>
      <c r="C89" s="138" t="s">
        <v>644</v>
      </c>
      <c r="D89" s="175">
        <v>150</v>
      </c>
      <c r="E89" s="175">
        <v>202</v>
      </c>
      <c r="F89" s="176">
        <v>0.03</v>
      </c>
      <c r="G89" s="176">
        <v>0.03</v>
      </c>
      <c r="H89" s="176">
        <v>0.03</v>
      </c>
      <c r="I89" s="176">
        <v>0.03</v>
      </c>
      <c r="J89" s="176">
        <v>0.03</v>
      </c>
      <c r="K89" s="176">
        <v>0.03</v>
      </c>
      <c r="L89" s="176">
        <v>0.04</v>
      </c>
      <c r="M89" s="176">
        <v>0.04</v>
      </c>
      <c r="N89" s="176">
        <v>0.04</v>
      </c>
      <c r="O89" s="176">
        <v>0.04</v>
      </c>
      <c r="Q89" s="151">
        <f t="shared" si="32"/>
        <v>150</v>
      </c>
      <c r="R89" s="151">
        <f t="shared" si="33"/>
        <v>4.5</v>
      </c>
      <c r="S89" s="151">
        <f t="shared" si="34"/>
        <v>4.5</v>
      </c>
      <c r="T89" s="151">
        <f t="shared" si="35"/>
        <v>4.5</v>
      </c>
      <c r="U89" s="151">
        <f t="shared" si="36"/>
        <v>4.5</v>
      </c>
      <c r="V89" s="151">
        <f t="shared" si="37"/>
        <v>4.5</v>
      </c>
      <c r="W89" s="151">
        <f t="shared" si="38"/>
        <v>6</v>
      </c>
      <c r="X89" s="151">
        <f t="shared" si="39"/>
        <v>6</v>
      </c>
      <c r="Y89" s="151">
        <f t="shared" si="40"/>
        <v>6</v>
      </c>
      <c r="Z89" s="151">
        <f t="shared" si="41"/>
        <v>6</v>
      </c>
      <c r="AA89" s="112">
        <f t="shared" si="31"/>
        <v>196.5</v>
      </c>
    </row>
    <row r="90" spans="1:27" ht="26.25" thickBot="1" x14ac:dyDescent="0.3">
      <c r="A90" s="737"/>
      <c r="B90" s="718"/>
      <c r="C90" s="138" t="s">
        <v>645</v>
      </c>
      <c r="D90" s="175">
        <v>3600</v>
      </c>
      <c r="E90" s="175">
        <v>4838</v>
      </c>
      <c r="F90" s="176">
        <v>0.03</v>
      </c>
      <c r="G90" s="176">
        <v>0.03</v>
      </c>
      <c r="H90" s="176">
        <v>0.03</v>
      </c>
      <c r="I90" s="176">
        <v>0.03</v>
      </c>
      <c r="J90" s="176">
        <v>0.03</v>
      </c>
      <c r="K90" s="176">
        <v>0.03</v>
      </c>
      <c r="L90" s="176">
        <v>0.04</v>
      </c>
      <c r="M90" s="176">
        <v>0.04</v>
      </c>
      <c r="N90" s="176">
        <v>0.04</v>
      </c>
      <c r="O90" s="176">
        <v>0.04</v>
      </c>
      <c r="Q90" s="151">
        <f t="shared" si="32"/>
        <v>3600</v>
      </c>
      <c r="R90" s="151">
        <f t="shared" si="33"/>
        <v>108</v>
      </c>
      <c r="S90" s="151">
        <f t="shared" si="34"/>
        <v>108</v>
      </c>
      <c r="T90" s="151">
        <f t="shared" si="35"/>
        <v>108</v>
      </c>
      <c r="U90" s="151">
        <f t="shared" si="36"/>
        <v>108</v>
      </c>
      <c r="V90" s="151">
        <f t="shared" si="37"/>
        <v>108</v>
      </c>
      <c r="W90" s="151">
        <f t="shared" si="38"/>
        <v>144</v>
      </c>
      <c r="X90" s="151">
        <f t="shared" si="39"/>
        <v>144</v>
      </c>
      <c r="Y90" s="151">
        <f t="shared" si="40"/>
        <v>144</v>
      </c>
      <c r="Z90" s="151">
        <f t="shared" si="41"/>
        <v>144</v>
      </c>
      <c r="AA90" s="112">
        <f t="shared" si="31"/>
        <v>4716</v>
      </c>
    </row>
    <row r="91" spans="1:27" ht="15.75" thickBot="1" x14ac:dyDescent="0.3">
      <c r="A91" s="737"/>
      <c r="B91" s="718"/>
      <c r="C91" s="730" t="s">
        <v>646</v>
      </c>
      <c r="D91" s="175">
        <v>200</v>
      </c>
      <c r="E91" s="175">
        <v>486</v>
      </c>
      <c r="F91" s="176">
        <v>0.05</v>
      </c>
      <c r="G91" s="176">
        <v>0.06</v>
      </c>
      <c r="H91" s="176">
        <v>0.1</v>
      </c>
      <c r="I91" s="176">
        <v>0.12</v>
      </c>
      <c r="J91" s="176">
        <v>0.14000000000000001</v>
      </c>
      <c r="K91" s="176">
        <v>0.16</v>
      </c>
      <c r="L91" s="176">
        <v>0.17</v>
      </c>
      <c r="M91" s="176">
        <v>0.18</v>
      </c>
      <c r="N91" s="176">
        <v>0.2</v>
      </c>
      <c r="O91" s="176">
        <v>0.25</v>
      </c>
      <c r="Q91" s="151">
        <f t="shared" si="32"/>
        <v>200</v>
      </c>
      <c r="R91" s="151">
        <f t="shared" si="33"/>
        <v>12</v>
      </c>
      <c r="S91" s="151">
        <f t="shared" si="34"/>
        <v>20</v>
      </c>
      <c r="T91" s="151">
        <f t="shared" si="35"/>
        <v>24</v>
      </c>
      <c r="U91" s="151">
        <f t="shared" si="36"/>
        <v>28.000000000000004</v>
      </c>
      <c r="V91" s="151">
        <f t="shared" si="37"/>
        <v>32</v>
      </c>
      <c r="W91" s="151">
        <f t="shared" si="38"/>
        <v>34</v>
      </c>
      <c r="X91" s="151">
        <f t="shared" si="39"/>
        <v>36</v>
      </c>
      <c r="Y91" s="151">
        <f t="shared" si="40"/>
        <v>40</v>
      </c>
      <c r="Z91" s="151">
        <f t="shared" si="41"/>
        <v>50</v>
      </c>
      <c r="AA91" s="112">
        <f t="shared" si="31"/>
        <v>476</v>
      </c>
    </row>
    <row r="92" spans="1:27" ht="15.75" thickBot="1" x14ac:dyDescent="0.3">
      <c r="A92" s="737"/>
      <c r="B92" s="718"/>
      <c r="C92" s="731"/>
      <c r="D92" s="175">
        <v>150</v>
      </c>
      <c r="E92" s="175">
        <v>483</v>
      </c>
      <c r="F92" s="176">
        <v>0.1</v>
      </c>
      <c r="G92" s="176">
        <v>0.15</v>
      </c>
      <c r="H92" s="176">
        <v>0.17</v>
      </c>
      <c r="I92" s="176">
        <v>0.18</v>
      </c>
      <c r="J92" s="176">
        <v>0.2</v>
      </c>
      <c r="K92" s="176">
        <v>0.22</v>
      </c>
      <c r="L92" s="176">
        <v>0.25</v>
      </c>
      <c r="M92" s="176">
        <v>0.3</v>
      </c>
      <c r="N92" s="176">
        <v>0.3</v>
      </c>
      <c r="O92" s="176">
        <v>0.35</v>
      </c>
      <c r="Q92" s="151">
        <f t="shared" si="32"/>
        <v>150</v>
      </c>
      <c r="R92" s="151">
        <f t="shared" si="33"/>
        <v>22.5</v>
      </c>
      <c r="S92" s="151">
        <f t="shared" si="34"/>
        <v>25.500000000000004</v>
      </c>
      <c r="T92" s="151">
        <f t="shared" si="35"/>
        <v>27</v>
      </c>
      <c r="U92" s="151">
        <f t="shared" si="36"/>
        <v>30</v>
      </c>
      <c r="V92" s="151">
        <f t="shared" si="37"/>
        <v>33</v>
      </c>
      <c r="W92" s="151">
        <f t="shared" si="38"/>
        <v>37.5</v>
      </c>
      <c r="X92" s="151">
        <f t="shared" si="39"/>
        <v>45</v>
      </c>
      <c r="Y92" s="151">
        <f t="shared" si="40"/>
        <v>45</v>
      </c>
      <c r="Z92" s="151">
        <f t="shared" si="41"/>
        <v>52.5</v>
      </c>
      <c r="AA92" s="112">
        <f t="shared" si="31"/>
        <v>468</v>
      </c>
    </row>
    <row r="93" spans="1:27" ht="15.75" thickBot="1" x14ac:dyDescent="0.3">
      <c r="A93" s="737"/>
      <c r="B93" s="718"/>
      <c r="C93" s="732"/>
      <c r="D93" s="175">
        <v>150</v>
      </c>
      <c r="E93" s="175">
        <v>483</v>
      </c>
      <c r="F93" s="176">
        <v>0.1</v>
      </c>
      <c r="G93" s="176">
        <v>0.15</v>
      </c>
      <c r="H93" s="176">
        <v>0.17</v>
      </c>
      <c r="I93" s="176">
        <v>0.18</v>
      </c>
      <c r="J93" s="176">
        <v>0.2</v>
      </c>
      <c r="K93" s="176">
        <v>0.22</v>
      </c>
      <c r="L93" s="176">
        <v>0.25</v>
      </c>
      <c r="M93" s="176">
        <v>0.3</v>
      </c>
      <c r="N93" s="176">
        <v>0.3</v>
      </c>
      <c r="O93" s="176">
        <v>0.35</v>
      </c>
      <c r="Q93" s="151">
        <f t="shared" si="32"/>
        <v>150</v>
      </c>
      <c r="R93" s="151">
        <f t="shared" si="33"/>
        <v>22.5</v>
      </c>
      <c r="S93" s="151">
        <f t="shared" si="34"/>
        <v>25.500000000000004</v>
      </c>
      <c r="T93" s="151">
        <f t="shared" si="35"/>
        <v>27</v>
      </c>
      <c r="U93" s="151">
        <f t="shared" si="36"/>
        <v>30</v>
      </c>
      <c r="V93" s="151">
        <f t="shared" si="37"/>
        <v>33</v>
      </c>
      <c r="W93" s="151">
        <f t="shared" si="38"/>
        <v>37.5</v>
      </c>
      <c r="X93" s="151">
        <f t="shared" si="39"/>
        <v>45</v>
      </c>
      <c r="Y93" s="151">
        <f t="shared" si="40"/>
        <v>45</v>
      </c>
      <c r="Z93" s="151">
        <f t="shared" si="41"/>
        <v>52.5</v>
      </c>
      <c r="AA93" s="112">
        <f t="shared" si="31"/>
        <v>468</v>
      </c>
    </row>
    <row r="94" spans="1:27" ht="39" thickBot="1" x14ac:dyDescent="0.3">
      <c r="A94" s="737"/>
      <c r="B94" s="718"/>
      <c r="C94" s="138" t="s">
        <v>647</v>
      </c>
      <c r="D94" s="175">
        <v>4131</v>
      </c>
      <c r="E94" s="175">
        <v>5552</v>
      </c>
      <c r="F94" s="176">
        <v>0.03</v>
      </c>
      <c r="G94" s="176">
        <v>0.03</v>
      </c>
      <c r="H94" s="176">
        <v>0.03</v>
      </c>
      <c r="I94" s="176">
        <v>0.03</v>
      </c>
      <c r="J94" s="176">
        <v>0.03</v>
      </c>
      <c r="K94" s="176">
        <v>0.03</v>
      </c>
      <c r="L94" s="176">
        <v>0.04</v>
      </c>
      <c r="M94" s="176">
        <v>0.04</v>
      </c>
      <c r="N94" s="176">
        <v>0.04</v>
      </c>
      <c r="O94" s="176">
        <v>0.04</v>
      </c>
      <c r="Q94" s="151">
        <f t="shared" si="32"/>
        <v>4131</v>
      </c>
      <c r="R94" s="151">
        <f t="shared" si="33"/>
        <v>123.92999999999999</v>
      </c>
      <c r="S94" s="151">
        <f t="shared" si="34"/>
        <v>123.92999999999999</v>
      </c>
      <c r="T94" s="151">
        <f t="shared" si="35"/>
        <v>123.92999999999999</v>
      </c>
      <c r="U94" s="151">
        <f t="shared" si="36"/>
        <v>123.92999999999999</v>
      </c>
      <c r="V94" s="151">
        <f t="shared" si="37"/>
        <v>123.92999999999999</v>
      </c>
      <c r="W94" s="151">
        <f t="shared" si="38"/>
        <v>165.24</v>
      </c>
      <c r="X94" s="151">
        <f t="shared" si="39"/>
        <v>165.24</v>
      </c>
      <c r="Y94" s="151">
        <f t="shared" si="40"/>
        <v>165.24</v>
      </c>
      <c r="Z94" s="151">
        <f t="shared" si="41"/>
        <v>165.24</v>
      </c>
      <c r="AA94" s="112">
        <f t="shared" si="31"/>
        <v>5411.6100000000006</v>
      </c>
    </row>
    <row r="95" spans="1:27" ht="26.25" thickBot="1" x14ac:dyDescent="0.3">
      <c r="A95" s="737"/>
      <c r="B95" s="718"/>
      <c r="C95" s="138" t="s">
        <v>648</v>
      </c>
      <c r="D95" s="175">
        <v>1185</v>
      </c>
      <c r="E95" s="175">
        <v>1593</v>
      </c>
      <c r="F95" s="176">
        <v>0.03</v>
      </c>
      <c r="G95" s="176">
        <v>0.03</v>
      </c>
      <c r="H95" s="176">
        <v>0.03</v>
      </c>
      <c r="I95" s="176">
        <v>0.03</v>
      </c>
      <c r="J95" s="176">
        <v>0.03</v>
      </c>
      <c r="K95" s="176">
        <v>0.03</v>
      </c>
      <c r="L95" s="176">
        <v>0.04</v>
      </c>
      <c r="M95" s="176">
        <v>0.04</v>
      </c>
      <c r="N95" s="176">
        <v>0.04</v>
      </c>
      <c r="O95" s="176">
        <v>0.04</v>
      </c>
      <c r="Q95" s="151">
        <f t="shared" si="32"/>
        <v>1185</v>
      </c>
      <c r="R95" s="151">
        <f t="shared" si="33"/>
        <v>35.549999999999997</v>
      </c>
      <c r="S95" s="151">
        <f t="shared" si="34"/>
        <v>35.549999999999997</v>
      </c>
      <c r="T95" s="151">
        <f t="shared" si="35"/>
        <v>35.549999999999997</v>
      </c>
      <c r="U95" s="151">
        <f t="shared" si="36"/>
        <v>35.549999999999997</v>
      </c>
      <c r="V95" s="151">
        <f t="shared" si="37"/>
        <v>35.549999999999997</v>
      </c>
      <c r="W95" s="151">
        <f t="shared" si="38"/>
        <v>47.4</v>
      </c>
      <c r="X95" s="151">
        <f t="shared" si="39"/>
        <v>47.4</v>
      </c>
      <c r="Y95" s="151">
        <f t="shared" si="40"/>
        <v>47.4</v>
      </c>
      <c r="Z95" s="151">
        <f t="shared" si="41"/>
        <v>47.4</v>
      </c>
      <c r="AA95" s="112">
        <f t="shared" si="31"/>
        <v>1552.3500000000001</v>
      </c>
    </row>
    <row r="96" spans="1:27" ht="39" thickBot="1" x14ac:dyDescent="0.3">
      <c r="A96" s="737"/>
      <c r="B96" s="719"/>
      <c r="C96" s="138" t="s">
        <v>649</v>
      </c>
      <c r="D96" s="175">
        <v>537</v>
      </c>
      <c r="E96" s="175">
        <v>722</v>
      </c>
      <c r="F96" s="176">
        <v>0.03</v>
      </c>
      <c r="G96" s="176">
        <v>0.03</v>
      </c>
      <c r="H96" s="176">
        <v>0.03</v>
      </c>
      <c r="I96" s="176">
        <v>0.03</v>
      </c>
      <c r="J96" s="176">
        <v>0.03</v>
      </c>
      <c r="K96" s="176">
        <v>0.03</v>
      </c>
      <c r="L96" s="176">
        <v>0.04</v>
      </c>
      <c r="M96" s="176">
        <v>0.04</v>
      </c>
      <c r="N96" s="176">
        <v>0.04</v>
      </c>
      <c r="O96" s="176">
        <v>0.04</v>
      </c>
      <c r="Q96" s="151">
        <f t="shared" si="32"/>
        <v>537</v>
      </c>
      <c r="R96" s="151">
        <f t="shared" si="33"/>
        <v>16.11</v>
      </c>
      <c r="S96" s="151">
        <f t="shared" si="34"/>
        <v>16.11</v>
      </c>
      <c r="T96" s="151">
        <f t="shared" si="35"/>
        <v>16.11</v>
      </c>
      <c r="U96" s="151">
        <f t="shared" si="36"/>
        <v>16.11</v>
      </c>
      <c r="V96" s="151">
        <f t="shared" si="37"/>
        <v>16.11</v>
      </c>
      <c r="W96" s="151">
        <f t="shared" si="38"/>
        <v>21.48</v>
      </c>
      <c r="X96" s="151">
        <f t="shared" si="39"/>
        <v>21.48</v>
      </c>
      <c r="Y96" s="151">
        <f t="shared" si="40"/>
        <v>21.48</v>
      </c>
      <c r="Z96" s="151">
        <f t="shared" si="41"/>
        <v>21.48</v>
      </c>
      <c r="AA96" s="112">
        <f t="shared" si="31"/>
        <v>703.47000000000014</v>
      </c>
    </row>
    <row r="97" spans="1:27" ht="26.25" thickBot="1" x14ac:dyDescent="0.3">
      <c r="A97" s="738"/>
      <c r="B97" s="137" t="s">
        <v>650</v>
      </c>
      <c r="C97" s="138" t="s">
        <v>651</v>
      </c>
      <c r="D97" s="175">
        <v>9113</v>
      </c>
      <c r="E97" s="175">
        <v>12247</v>
      </c>
      <c r="F97" s="176">
        <v>0.03</v>
      </c>
      <c r="G97" s="176">
        <v>0.03</v>
      </c>
      <c r="H97" s="176">
        <v>0.03</v>
      </c>
      <c r="I97" s="176">
        <v>0.03</v>
      </c>
      <c r="J97" s="176">
        <v>0.03</v>
      </c>
      <c r="K97" s="176">
        <v>0.03</v>
      </c>
      <c r="L97" s="176">
        <v>0.04</v>
      </c>
      <c r="M97" s="176">
        <v>0.04</v>
      </c>
      <c r="N97" s="176">
        <v>0.04</v>
      </c>
      <c r="O97" s="176">
        <v>0.04</v>
      </c>
      <c r="Q97" s="151">
        <f t="shared" si="32"/>
        <v>9113</v>
      </c>
      <c r="R97" s="151">
        <f t="shared" si="33"/>
        <v>273.39</v>
      </c>
      <c r="S97" s="151">
        <f t="shared" si="34"/>
        <v>273.39</v>
      </c>
      <c r="T97" s="151">
        <f t="shared" si="35"/>
        <v>273.39</v>
      </c>
      <c r="U97" s="151">
        <f t="shared" si="36"/>
        <v>273.39</v>
      </c>
      <c r="V97" s="151">
        <f t="shared" si="37"/>
        <v>273.39</v>
      </c>
      <c r="W97" s="151">
        <f t="shared" si="38"/>
        <v>364.52</v>
      </c>
      <c r="X97" s="151">
        <f t="shared" si="39"/>
        <v>364.52</v>
      </c>
      <c r="Y97" s="151">
        <f t="shared" si="40"/>
        <v>364.52</v>
      </c>
      <c r="Z97" s="151">
        <f t="shared" si="41"/>
        <v>364.52</v>
      </c>
      <c r="AA97" s="112">
        <f t="shared" si="31"/>
        <v>11938.029999999999</v>
      </c>
    </row>
    <row r="100" spans="1:27" ht="15.75" thickBot="1" x14ac:dyDescent="0.3"/>
    <row r="101" spans="1:27" ht="15.75" thickBot="1" x14ac:dyDescent="0.3">
      <c r="A101" s="749" t="s">
        <v>557</v>
      </c>
      <c r="B101" s="749" t="s">
        <v>532</v>
      </c>
      <c r="C101" s="749" t="s">
        <v>533</v>
      </c>
      <c r="D101" s="749" t="s">
        <v>534</v>
      </c>
      <c r="E101" s="749" t="s">
        <v>535</v>
      </c>
      <c r="F101" s="743" t="s">
        <v>536</v>
      </c>
      <c r="G101" s="744"/>
      <c r="H101" s="744"/>
      <c r="I101" s="744"/>
      <c r="J101" s="744"/>
      <c r="K101" s="744"/>
      <c r="L101" s="744"/>
      <c r="M101" s="744"/>
      <c r="N101" s="744"/>
      <c r="O101" s="745"/>
      <c r="Q101" s="743" t="s">
        <v>536</v>
      </c>
      <c r="R101" s="744"/>
      <c r="S101" s="744"/>
      <c r="T101" s="744"/>
      <c r="U101" s="744"/>
      <c r="V101" s="744"/>
      <c r="W101" s="744"/>
      <c r="X101" s="744"/>
      <c r="Y101" s="744"/>
      <c r="Z101" s="745"/>
    </row>
    <row r="102" spans="1:27" ht="15.75" thickBot="1" x14ac:dyDescent="0.3">
      <c r="A102" s="750"/>
      <c r="B102" s="750"/>
      <c r="C102" s="750"/>
      <c r="D102" s="750"/>
      <c r="E102" s="750"/>
      <c r="F102" s="177">
        <v>2015</v>
      </c>
      <c r="G102" s="177">
        <v>2016</v>
      </c>
      <c r="H102" s="177">
        <v>2017</v>
      </c>
      <c r="I102" s="177">
        <v>2018</v>
      </c>
      <c r="J102" s="177">
        <v>2019</v>
      </c>
      <c r="K102" s="177">
        <v>2020</v>
      </c>
      <c r="L102" s="177">
        <v>2021</v>
      </c>
      <c r="M102" s="177">
        <v>2022</v>
      </c>
      <c r="N102" s="177">
        <v>2023</v>
      </c>
      <c r="O102" s="177">
        <v>2024</v>
      </c>
      <c r="Q102" s="177">
        <v>2015</v>
      </c>
      <c r="R102" s="177">
        <v>2016</v>
      </c>
      <c r="S102" s="177">
        <v>2017</v>
      </c>
      <c r="T102" s="177">
        <v>2018</v>
      </c>
      <c r="U102" s="177">
        <v>2019</v>
      </c>
      <c r="V102" s="177">
        <v>2020</v>
      </c>
      <c r="W102" s="177">
        <v>2021</v>
      </c>
      <c r="X102" s="177">
        <v>2022</v>
      </c>
      <c r="Y102" s="177">
        <v>2023</v>
      </c>
      <c r="Z102" s="177">
        <v>2024</v>
      </c>
    </row>
    <row r="103" spans="1:27" ht="39" thickBot="1" x14ac:dyDescent="0.3">
      <c r="A103" s="746" t="s">
        <v>334</v>
      </c>
      <c r="B103" s="137" t="s">
        <v>652</v>
      </c>
      <c r="C103" s="138" t="s">
        <v>653</v>
      </c>
      <c r="D103" s="178">
        <v>0.3</v>
      </c>
      <c r="E103" s="178">
        <v>1</v>
      </c>
      <c r="F103" s="169">
        <v>7.0000000000000007E-2</v>
      </c>
      <c r="G103" s="169">
        <v>7.0000000000000007E-2</v>
      </c>
      <c r="H103" s="169">
        <v>7.0000000000000007E-2</v>
      </c>
      <c r="I103" s="169">
        <v>7.0000000000000007E-2</v>
      </c>
      <c r="J103" s="169">
        <v>7.0000000000000007E-2</v>
      </c>
      <c r="K103" s="169">
        <v>7.0000000000000007E-2</v>
      </c>
      <c r="L103" s="169">
        <v>7.0000000000000007E-2</v>
      </c>
      <c r="M103" s="169">
        <v>7.0000000000000007E-2</v>
      </c>
      <c r="N103" s="169">
        <v>7.0000000000000007E-2</v>
      </c>
      <c r="O103" s="169">
        <v>7.0000000000000007E-2</v>
      </c>
      <c r="Q103" s="151">
        <f t="shared" ref="Q103" si="42">D103</f>
        <v>0.3</v>
      </c>
      <c r="R103" s="151">
        <f t="shared" ref="R103" si="43">D103*G103</f>
        <v>2.1000000000000001E-2</v>
      </c>
      <c r="S103" s="151">
        <f t="shared" ref="S103" si="44">D103*H103</f>
        <v>2.1000000000000001E-2</v>
      </c>
      <c r="T103" s="151">
        <f t="shared" ref="T103" si="45">D103*I103</f>
        <v>2.1000000000000001E-2</v>
      </c>
      <c r="U103" s="151">
        <f t="shared" ref="U103" si="46">D103*J103</f>
        <v>2.1000000000000001E-2</v>
      </c>
      <c r="V103" s="151">
        <f t="shared" ref="V103" si="47">D103*K103</f>
        <v>2.1000000000000001E-2</v>
      </c>
      <c r="W103" s="151">
        <f t="shared" ref="W103" si="48">D103*L103</f>
        <v>2.1000000000000001E-2</v>
      </c>
      <c r="X103" s="151">
        <f t="shared" ref="X103" si="49">D103*M103</f>
        <v>2.1000000000000001E-2</v>
      </c>
      <c r="Y103" s="151">
        <f t="shared" ref="Y103" si="50">D103*N103</f>
        <v>2.1000000000000001E-2</v>
      </c>
      <c r="Z103" s="151">
        <f t="shared" ref="Z103" si="51">D103*O103</f>
        <v>2.1000000000000001E-2</v>
      </c>
      <c r="AA103" s="112">
        <f t="shared" ref="AA103" si="52">SUM(Q103:Z103)</f>
        <v>0.48900000000000016</v>
      </c>
    </row>
    <row r="104" spans="1:27" ht="26.25" thickBot="1" x14ac:dyDescent="0.3">
      <c r="A104" s="747"/>
      <c r="B104" s="716" t="s">
        <v>654</v>
      </c>
      <c r="C104" s="138" t="s">
        <v>655</v>
      </c>
      <c r="D104" s="179">
        <v>48124</v>
      </c>
      <c r="E104" s="179">
        <v>73148</v>
      </c>
      <c r="F104" s="146">
        <v>0.02</v>
      </c>
      <c r="G104" s="146">
        <v>0.03</v>
      </c>
      <c r="H104" s="146">
        <v>0.03</v>
      </c>
      <c r="I104" s="146">
        <v>0.04</v>
      </c>
      <c r="J104" s="146">
        <v>0.04</v>
      </c>
      <c r="K104" s="146">
        <v>0.12</v>
      </c>
      <c r="L104" s="146">
        <v>0.12</v>
      </c>
      <c r="M104" s="146">
        <v>0.06</v>
      </c>
      <c r="N104" s="146">
        <v>0.03</v>
      </c>
      <c r="O104" s="146">
        <v>0.03</v>
      </c>
      <c r="Q104" s="151">
        <f t="shared" ref="Q104:Q132" si="53">D104</f>
        <v>48124</v>
      </c>
      <c r="R104" s="151">
        <f t="shared" ref="R104:R132" si="54">D104*G104</f>
        <v>1443.72</v>
      </c>
      <c r="S104" s="151">
        <f t="shared" ref="S104:S132" si="55">D104*H104</f>
        <v>1443.72</v>
      </c>
      <c r="T104" s="151">
        <f t="shared" ref="T104:T132" si="56">D104*I104</f>
        <v>1924.96</v>
      </c>
      <c r="U104" s="151">
        <f t="shared" ref="U104:U132" si="57">D104*J104</f>
        <v>1924.96</v>
      </c>
      <c r="V104" s="151">
        <f t="shared" ref="V104:V132" si="58">D104*K104</f>
        <v>5774.88</v>
      </c>
      <c r="W104" s="151">
        <f t="shared" ref="W104:W132" si="59">D104*L104</f>
        <v>5774.88</v>
      </c>
      <c r="X104" s="151">
        <f t="shared" ref="X104:X132" si="60">D104*M104</f>
        <v>2887.44</v>
      </c>
      <c r="Y104" s="151">
        <f t="shared" ref="Y104:Y132" si="61">D104*N104</f>
        <v>1443.72</v>
      </c>
      <c r="Z104" s="151">
        <f t="shared" ref="Z104:Z132" si="62">D104*O104</f>
        <v>1443.72</v>
      </c>
      <c r="AA104" s="112">
        <f t="shared" ref="AA104:AA132" si="63">SUM(Q104:Z104)</f>
        <v>72186</v>
      </c>
    </row>
    <row r="105" spans="1:27" ht="26.25" thickBot="1" x14ac:dyDescent="0.3">
      <c r="A105" s="747"/>
      <c r="B105" s="718"/>
      <c r="C105" s="138" t="s">
        <v>656</v>
      </c>
      <c r="D105" s="179">
        <v>32909</v>
      </c>
      <c r="E105" s="179">
        <v>47093</v>
      </c>
      <c r="F105" s="146">
        <v>0.05</v>
      </c>
      <c r="G105" s="146">
        <v>0.04</v>
      </c>
      <c r="H105" s="146">
        <v>0.04</v>
      </c>
      <c r="I105" s="146">
        <v>0.05</v>
      </c>
      <c r="J105" s="146">
        <v>0.06</v>
      </c>
      <c r="K105" s="146">
        <v>0.05</v>
      </c>
      <c r="L105" s="146">
        <v>0.04</v>
      </c>
      <c r="M105" s="146">
        <v>0.03</v>
      </c>
      <c r="N105" s="146">
        <v>0.03</v>
      </c>
      <c r="O105" s="146">
        <v>0.03</v>
      </c>
      <c r="Q105" s="151">
        <f t="shared" si="53"/>
        <v>32909</v>
      </c>
      <c r="R105" s="151">
        <f t="shared" si="54"/>
        <v>1316.3600000000001</v>
      </c>
      <c r="S105" s="151">
        <f t="shared" si="55"/>
        <v>1316.3600000000001</v>
      </c>
      <c r="T105" s="151">
        <f t="shared" si="56"/>
        <v>1645.45</v>
      </c>
      <c r="U105" s="151">
        <f t="shared" si="57"/>
        <v>1974.54</v>
      </c>
      <c r="V105" s="151">
        <f t="shared" si="58"/>
        <v>1645.45</v>
      </c>
      <c r="W105" s="151">
        <f t="shared" si="59"/>
        <v>1316.3600000000001</v>
      </c>
      <c r="X105" s="151">
        <f t="shared" si="60"/>
        <v>987.27</v>
      </c>
      <c r="Y105" s="151">
        <f t="shared" si="61"/>
        <v>987.27</v>
      </c>
      <c r="Z105" s="151">
        <f t="shared" si="62"/>
        <v>987.27</v>
      </c>
      <c r="AA105" s="112">
        <f t="shared" si="63"/>
        <v>45085.329999999987</v>
      </c>
    </row>
    <row r="106" spans="1:27" ht="26.25" thickBot="1" x14ac:dyDescent="0.3">
      <c r="A106" s="747"/>
      <c r="B106" s="718"/>
      <c r="C106" s="138" t="s">
        <v>657</v>
      </c>
      <c r="D106" s="179">
        <v>42349</v>
      </c>
      <c r="E106" s="179">
        <v>50522</v>
      </c>
      <c r="F106" s="146">
        <v>0.02</v>
      </c>
      <c r="G106" s="146">
        <v>0.02</v>
      </c>
      <c r="H106" s="146">
        <v>0.02</v>
      </c>
      <c r="I106" s="146">
        <v>0.02</v>
      </c>
      <c r="J106" s="146">
        <v>0.02</v>
      </c>
      <c r="K106" s="146">
        <v>0.02</v>
      </c>
      <c r="L106" s="146">
        <v>0.02</v>
      </c>
      <c r="M106" s="146">
        <v>0.02</v>
      </c>
      <c r="N106" s="146">
        <v>0.02</v>
      </c>
      <c r="O106" s="146">
        <v>0.02</v>
      </c>
      <c r="Q106" s="151">
        <f t="shared" si="53"/>
        <v>42349</v>
      </c>
      <c r="R106" s="151">
        <f t="shared" si="54"/>
        <v>846.98</v>
      </c>
      <c r="S106" s="151">
        <f t="shared" si="55"/>
        <v>846.98</v>
      </c>
      <c r="T106" s="151">
        <f t="shared" si="56"/>
        <v>846.98</v>
      </c>
      <c r="U106" s="151">
        <f t="shared" si="57"/>
        <v>846.98</v>
      </c>
      <c r="V106" s="151">
        <f t="shared" si="58"/>
        <v>846.98</v>
      </c>
      <c r="W106" s="151">
        <f t="shared" si="59"/>
        <v>846.98</v>
      </c>
      <c r="X106" s="151">
        <f t="shared" si="60"/>
        <v>846.98</v>
      </c>
      <c r="Y106" s="151">
        <f t="shared" si="61"/>
        <v>846.98</v>
      </c>
      <c r="Z106" s="151">
        <f t="shared" si="62"/>
        <v>846.98</v>
      </c>
      <c r="AA106" s="112">
        <f t="shared" si="63"/>
        <v>49971.820000000029</v>
      </c>
    </row>
    <row r="107" spans="1:27" ht="26.25" thickBot="1" x14ac:dyDescent="0.3">
      <c r="A107" s="747"/>
      <c r="B107" s="718"/>
      <c r="C107" s="138" t="s">
        <v>658</v>
      </c>
      <c r="D107" s="179">
        <v>28874</v>
      </c>
      <c r="E107" s="179">
        <v>48220</v>
      </c>
      <c r="F107" s="146">
        <v>0.08</v>
      </c>
      <c r="G107" s="146">
        <v>0.08</v>
      </c>
      <c r="H107" s="146">
        <v>7.0000000000000007E-2</v>
      </c>
      <c r="I107" s="146">
        <v>7.0000000000000007E-2</v>
      </c>
      <c r="J107" s="146">
        <v>7.0000000000000007E-2</v>
      </c>
      <c r="K107" s="146">
        <v>0.06</v>
      </c>
      <c r="L107" s="146">
        <v>0.06</v>
      </c>
      <c r="M107" s="146">
        <v>0.06</v>
      </c>
      <c r="N107" s="146">
        <v>0.06</v>
      </c>
      <c r="O107" s="146">
        <v>0.06</v>
      </c>
      <c r="Q107" s="151">
        <f t="shared" si="53"/>
        <v>28874</v>
      </c>
      <c r="R107" s="151">
        <f t="shared" si="54"/>
        <v>2309.92</v>
      </c>
      <c r="S107" s="151">
        <f t="shared" si="55"/>
        <v>2021.1800000000003</v>
      </c>
      <c r="T107" s="151">
        <f t="shared" si="56"/>
        <v>2021.1800000000003</v>
      </c>
      <c r="U107" s="151">
        <f t="shared" si="57"/>
        <v>2021.1800000000003</v>
      </c>
      <c r="V107" s="151">
        <f t="shared" si="58"/>
        <v>1732.4399999999998</v>
      </c>
      <c r="W107" s="151">
        <f t="shared" si="59"/>
        <v>1732.4399999999998</v>
      </c>
      <c r="X107" s="151">
        <f t="shared" si="60"/>
        <v>1732.4399999999998</v>
      </c>
      <c r="Y107" s="151">
        <f t="shared" si="61"/>
        <v>1732.4399999999998</v>
      </c>
      <c r="Z107" s="151">
        <f t="shared" si="62"/>
        <v>1732.4399999999998</v>
      </c>
      <c r="AA107" s="112">
        <f t="shared" si="63"/>
        <v>45909.660000000011</v>
      </c>
    </row>
    <row r="108" spans="1:27" ht="26.25" thickBot="1" x14ac:dyDescent="0.3">
      <c r="A108" s="747"/>
      <c r="B108" s="718"/>
      <c r="C108" s="155" t="s">
        <v>659</v>
      </c>
      <c r="D108" s="180">
        <v>55000</v>
      </c>
      <c r="E108" s="180">
        <v>85140</v>
      </c>
      <c r="F108" s="181">
        <v>0.05</v>
      </c>
      <c r="G108" s="181">
        <v>0.06</v>
      </c>
      <c r="H108" s="181">
        <v>0.06</v>
      </c>
      <c r="I108" s="181">
        <v>7.0000000000000007E-2</v>
      </c>
      <c r="J108" s="181">
        <v>0.08</v>
      </c>
      <c r="K108" s="181">
        <v>7.0000000000000007E-2</v>
      </c>
      <c r="L108" s="181">
        <v>0.04</v>
      </c>
      <c r="M108" s="181">
        <v>0.04</v>
      </c>
      <c r="N108" s="181">
        <v>0.04</v>
      </c>
      <c r="O108" s="181">
        <v>0.04</v>
      </c>
      <c r="Q108" s="151">
        <f t="shared" si="53"/>
        <v>55000</v>
      </c>
      <c r="R108" s="151">
        <f t="shared" si="54"/>
        <v>3300</v>
      </c>
      <c r="S108" s="151">
        <f t="shared" si="55"/>
        <v>3300</v>
      </c>
      <c r="T108" s="151">
        <f t="shared" si="56"/>
        <v>3850.0000000000005</v>
      </c>
      <c r="U108" s="151">
        <f t="shared" si="57"/>
        <v>4400</v>
      </c>
      <c r="V108" s="151">
        <f t="shared" si="58"/>
        <v>3850.0000000000005</v>
      </c>
      <c r="W108" s="151">
        <f t="shared" si="59"/>
        <v>2200</v>
      </c>
      <c r="X108" s="151">
        <f t="shared" si="60"/>
        <v>2200</v>
      </c>
      <c r="Y108" s="151">
        <f t="shared" si="61"/>
        <v>2200</v>
      </c>
      <c r="Z108" s="151">
        <f t="shared" si="62"/>
        <v>2200</v>
      </c>
      <c r="AA108" s="112">
        <f t="shared" si="63"/>
        <v>82500</v>
      </c>
    </row>
    <row r="109" spans="1:27" ht="15.75" thickBot="1" x14ac:dyDescent="0.3">
      <c r="A109" s="747"/>
      <c r="B109" s="718"/>
      <c r="C109" s="138" t="s">
        <v>660</v>
      </c>
      <c r="D109" s="175">
        <v>100</v>
      </c>
      <c r="E109" s="175">
        <v>130</v>
      </c>
      <c r="F109" s="146">
        <v>0.03</v>
      </c>
      <c r="G109" s="146">
        <v>0.03</v>
      </c>
      <c r="H109" s="146">
        <v>0.03</v>
      </c>
      <c r="I109" s="146">
        <v>0.03</v>
      </c>
      <c r="J109" s="146">
        <v>0.04</v>
      </c>
      <c r="K109" s="146">
        <v>0.04</v>
      </c>
      <c r="L109" s="146">
        <v>0.03</v>
      </c>
      <c r="M109" s="146">
        <v>0.03</v>
      </c>
      <c r="N109" s="146">
        <v>0.03</v>
      </c>
      <c r="O109" s="146">
        <v>0.02</v>
      </c>
      <c r="Q109" s="151">
        <f t="shared" si="53"/>
        <v>100</v>
      </c>
      <c r="R109" s="151">
        <f t="shared" si="54"/>
        <v>3</v>
      </c>
      <c r="S109" s="151">
        <f t="shared" si="55"/>
        <v>3</v>
      </c>
      <c r="T109" s="151">
        <f t="shared" si="56"/>
        <v>3</v>
      </c>
      <c r="U109" s="151">
        <f t="shared" si="57"/>
        <v>4</v>
      </c>
      <c r="V109" s="151">
        <f t="shared" si="58"/>
        <v>4</v>
      </c>
      <c r="W109" s="151">
        <f t="shared" si="59"/>
        <v>3</v>
      </c>
      <c r="X109" s="151">
        <f t="shared" si="60"/>
        <v>3</v>
      </c>
      <c r="Y109" s="151">
        <f t="shared" si="61"/>
        <v>3</v>
      </c>
      <c r="Z109" s="151">
        <f t="shared" si="62"/>
        <v>2</v>
      </c>
      <c r="AA109" s="112">
        <f t="shared" si="63"/>
        <v>128</v>
      </c>
    </row>
    <row r="110" spans="1:27" ht="15.75" thickBot="1" x14ac:dyDescent="0.3">
      <c r="A110" s="747"/>
      <c r="B110" s="718"/>
      <c r="C110" s="138" t="s">
        <v>661</v>
      </c>
      <c r="D110" s="179">
        <v>1273</v>
      </c>
      <c r="E110" s="179">
        <v>1832</v>
      </c>
      <c r="F110" s="146">
        <v>0.05</v>
      </c>
      <c r="G110" s="146">
        <v>0.04</v>
      </c>
      <c r="H110" s="146">
        <v>0.04</v>
      </c>
      <c r="I110" s="146">
        <v>0.05</v>
      </c>
      <c r="J110" s="146">
        <v>0.05</v>
      </c>
      <c r="K110" s="146">
        <v>0.05</v>
      </c>
      <c r="L110" s="146">
        <v>0.05</v>
      </c>
      <c r="M110" s="146">
        <v>0.04</v>
      </c>
      <c r="N110" s="146">
        <v>0.04</v>
      </c>
      <c r="O110" s="146">
        <v>0.03</v>
      </c>
      <c r="Q110" s="151">
        <f t="shared" si="53"/>
        <v>1273</v>
      </c>
      <c r="R110" s="151">
        <f t="shared" si="54"/>
        <v>50.92</v>
      </c>
      <c r="S110" s="151">
        <f t="shared" si="55"/>
        <v>50.92</v>
      </c>
      <c r="T110" s="151">
        <f t="shared" si="56"/>
        <v>63.650000000000006</v>
      </c>
      <c r="U110" s="151">
        <f t="shared" si="57"/>
        <v>63.650000000000006</v>
      </c>
      <c r="V110" s="151">
        <f t="shared" si="58"/>
        <v>63.650000000000006</v>
      </c>
      <c r="W110" s="151">
        <f t="shared" si="59"/>
        <v>63.650000000000006</v>
      </c>
      <c r="X110" s="151">
        <f t="shared" si="60"/>
        <v>50.92</v>
      </c>
      <c r="Y110" s="151">
        <f t="shared" si="61"/>
        <v>50.92</v>
      </c>
      <c r="Z110" s="151">
        <f t="shared" si="62"/>
        <v>38.19</v>
      </c>
      <c r="AA110" s="112">
        <f t="shared" si="63"/>
        <v>1769.4700000000007</v>
      </c>
    </row>
    <row r="111" spans="1:27" ht="15.75" thickBot="1" x14ac:dyDescent="0.3">
      <c r="A111" s="747"/>
      <c r="B111" s="718"/>
      <c r="C111" s="138" t="s">
        <v>662</v>
      </c>
      <c r="D111" s="175">
        <v>60</v>
      </c>
      <c r="E111" s="175">
        <v>80</v>
      </c>
      <c r="F111" s="146">
        <v>0.03</v>
      </c>
      <c r="G111" s="146">
        <v>0.04</v>
      </c>
      <c r="H111" s="146">
        <v>0.04</v>
      </c>
      <c r="I111" s="146">
        <v>0.04</v>
      </c>
      <c r="J111" s="146">
        <v>0.04</v>
      </c>
      <c r="K111" s="146">
        <v>0.03</v>
      </c>
      <c r="L111" s="146">
        <v>0.03</v>
      </c>
      <c r="M111" s="146">
        <v>0.03</v>
      </c>
      <c r="N111" s="146">
        <v>0.03</v>
      </c>
      <c r="O111" s="146">
        <v>0.03</v>
      </c>
      <c r="Q111" s="151">
        <f t="shared" si="53"/>
        <v>60</v>
      </c>
      <c r="R111" s="151">
        <f t="shared" si="54"/>
        <v>2.4</v>
      </c>
      <c r="S111" s="151">
        <f t="shared" si="55"/>
        <v>2.4</v>
      </c>
      <c r="T111" s="151">
        <f t="shared" si="56"/>
        <v>2.4</v>
      </c>
      <c r="U111" s="151">
        <f t="shared" si="57"/>
        <v>2.4</v>
      </c>
      <c r="V111" s="151">
        <f t="shared" si="58"/>
        <v>1.7999999999999998</v>
      </c>
      <c r="W111" s="151">
        <f t="shared" si="59"/>
        <v>1.7999999999999998</v>
      </c>
      <c r="X111" s="151">
        <f t="shared" si="60"/>
        <v>1.7999999999999998</v>
      </c>
      <c r="Y111" s="151">
        <f t="shared" si="61"/>
        <v>1.7999999999999998</v>
      </c>
      <c r="Z111" s="151">
        <f t="shared" si="62"/>
        <v>1.7999999999999998</v>
      </c>
      <c r="AA111" s="112">
        <f t="shared" si="63"/>
        <v>78.599999999999994</v>
      </c>
    </row>
    <row r="112" spans="1:27" ht="15.75" thickBot="1" x14ac:dyDescent="0.3">
      <c r="A112" s="747"/>
      <c r="B112" s="718"/>
      <c r="C112" s="138" t="s">
        <v>663</v>
      </c>
      <c r="D112" s="175">
        <v>206</v>
      </c>
      <c r="E112" s="175">
        <v>448</v>
      </c>
      <c r="F112" s="146">
        <v>0.12</v>
      </c>
      <c r="G112" s="146">
        <v>0.11</v>
      </c>
      <c r="H112" s="146">
        <v>0.11</v>
      </c>
      <c r="I112" s="146">
        <v>0.13</v>
      </c>
      <c r="J112" s="146">
        <v>0.12</v>
      </c>
      <c r="K112" s="146">
        <v>0.12</v>
      </c>
      <c r="L112" s="146">
        <v>0.13</v>
      </c>
      <c r="M112" s="146">
        <v>0.12</v>
      </c>
      <c r="N112" s="146">
        <v>0.11</v>
      </c>
      <c r="O112" s="146">
        <v>0.11</v>
      </c>
      <c r="Q112" s="151">
        <f t="shared" si="53"/>
        <v>206</v>
      </c>
      <c r="R112" s="151">
        <f t="shared" si="54"/>
        <v>22.66</v>
      </c>
      <c r="S112" s="151">
        <f t="shared" si="55"/>
        <v>22.66</v>
      </c>
      <c r="T112" s="151">
        <f t="shared" si="56"/>
        <v>26.78</v>
      </c>
      <c r="U112" s="151">
        <f t="shared" si="57"/>
        <v>24.72</v>
      </c>
      <c r="V112" s="151">
        <f t="shared" si="58"/>
        <v>24.72</v>
      </c>
      <c r="W112" s="151">
        <f t="shared" si="59"/>
        <v>26.78</v>
      </c>
      <c r="X112" s="151">
        <f t="shared" si="60"/>
        <v>24.72</v>
      </c>
      <c r="Y112" s="151">
        <f t="shared" si="61"/>
        <v>22.66</v>
      </c>
      <c r="Z112" s="151">
        <f t="shared" si="62"/>
        <v>22.66</v>
      </c>
      <c r="AA112" s="112">
        <f t="shared" si="63"/>
        <v>424.36000000000013</v>
      </c>
    </row>
    <row r="113" spans="1:27" ht="15.75" thickBot="1" x14ac:dyDescent="0.3">
      <c r="A113" s="747"/>
      <c r="B113" s="718"/>
      <c r="C113" s="138" t="s">
        <v>664</v>
      </c>
      <c r="D113" s="175">
        <v>320</v>
      </c>
      <c r="E113" s="175">
        <v>948</v>
      </c>
      <c r="F113" s="146">
        <v>0.22</v>
      </c>
      <c r="G113" s="146">
        <v>0.17</v>
      </c>
      <c r="H113" s="146">
        <v>0.16</v>
      </c>
      <c r="I113" s="146">
        <v>0.15</v>
      </c>
      <c r="J113" s="146">
        <v>0.15</v>
      </c>
      <c r="K113" s="146">
        <v>0.19</v>
      </c>
      <c r="L113" s="146">
        <v>0.2</v>
      </c>
      <c r="M113" s="146">
        <v>0.22</v>
      </c>
      <c r="N113" s="146">
        <v>0.24</v>
      </c>
      <c r="O113" s="146">
        <v>0.26</v>
      </c>
      <c r="Q113" s="151">
        <f t="shared" si="53"/>
        <v>320</v>
      </c>
      <c r="R113" s="151">
        <f t="shared" si="54"/>
        <v>54.400000000000006</v>
      </c>
      <c r="S113" s="151">
        <f t="shared" si="55"/>
        <v>51.2</v>
      </c>
      <c r="T113" s="151">
        <f t="shared" si="56"/>
        <v>48</v>
      </c>
      <c r="U113" s="151">
        <f t="shared" si="57"/>
        <v>48</v>
      </c>
      <c r="V113" s="151">
        <f t="shared" si="58"/>
        <v>60.8</v>
      </c>
      <c r="W113" s="151">
        <f t="shared" si="59"/>
        <v>64</v>
      </c>
      <c r="X113" s="151">
        <f t="shared" si="60"/>
        <v>70.400000000000006</v>
      </c>
      <c r="Y113" s="151">
        <f t="shared" si="61"/>
        <v>76.8</v>
      </c>
      <c r="Z113" s="151">
        <f t="shared" si="62"/>
        <v>83.2</v>
      </c>
      <c r="AA113" s="112">
        <f t="shared" si="63"/>
        <v>876.79999999999984</v>
      </c>
    </row>
    <row r="114" spans="1:27" ht="15.75" thickBot="1" x14ac:dyDescent="0.3">
      <c r="A114" s="747"/>
      <c r="B114" s="718"/>
      <c r="C114" s="138" t="s">
        <v>665</v>
      </c>
      <c r="D114" s="175">
        <v>9</v>
      </c>
      <c r="E114" s="175">
        <v>129</v>
      </c>
      <c r="F114" s="146">
        <v>1.22</v>
      </c>
      <c r="G114" s="146">
        <v>1</v>
      </c>
      <c r="H114" s="146">
        <v>0.9</v>
      </c>
      <c r="I114" s="146">
        <v>2.5</v>
      </c>
      <c r="J114" s="146">
        <v>2.2999999999999998</v>
      </c>
      <c r="K114" s="146">
        <v>2</v>
      </c>
      <c r="L114" s="146">
        <v>1.7</v>
      </c>
      <c r="M114" s="146">
        <v>1.5</v>
      </c>
      <c r="N114" s="146">
        <v>0.11</v>
      </c>
      <c r="O114" s="146">
        <v>0.1</v>
      </c>
      <c r="Q114" s="151">
        <f t="shared" si="53"/>
        <v>9</v>
      </c>
      <c r="R114" s="151">
        <f t="shared" si="54"/>
        <v>9</v>
      </c>
      <c r="S114" s="151">
        <f t="shared" si="55"/>
        <v>8.1</v>
      </c>
      <c r="T114" s="151">
        <f t="shared" si="56"/>
        <v>22.5</v>
      </c>
      <c r="U114" s="151">
        <f t="shared" si="57"/>
        <v>20.7</v>
      </c>
      <c r="V114" s="151">
        <f t="shared" si="58"/>
        <v>18</v>
      </c>
      <c r="W114" s="151">
        <f t="shared" si="59"/>
        <v>15.299999999999999</v>
      </c>
      <c r="X114" s="151">
        <f t="shared" si="60"/>
        <v>13.5</v>
      </c>
      <c r="Y114" s="151">
        <f t="shared" si="61"/>
        <v>0.99</v>
      </c>
      <c r="Z114" s="151">
        <f t="shared" si="62"/>
        <v>0.9</v>
      </c>
      <c r="AA114" s="112">
        <f t="shared" si="63"/>
        <v>117.99</v>
      </c>
    </row>
    <row r="115" spans="1:27" ht="15.75" thickBot="1" x14ac:dyDescent="0.3">
      <c r="A115" s="747"/>
      <c r="B115" s="718"/>
      <c r="C115" s="182" t="s">
        <v>666</v>
      </c>
      <c r="D115" s="183">
        <v>1120</v>
      </c>
      <c r="E115" s="183">
        <v>3920</v>
      </c>
      <c r="F115" s="146">
        <v>0.3</v>
      </c>
      <c r="G115" s="146">
        <v>0.25</v>
      </c>
      <c r="H115" s="146">
        <v>0.2</v>
      </c>
      <c r="I115" s="146">
        <v>0.18</v>
      </c>
      <c r="J115" s="146">
        <v>0.2</v>
      </c>
      <c r="K115" s="146">
        <v>0.22</v>
      </c>
      <c r="L115" s="146">
        <v>0.24</v>
      </c>
      <c r="M115" s="146">
        <v>0.26</v>
      </c>
      <c r="N115" s="146">
        <v>0.3</v>
      </c>
      <c r="O115" s="146">
        <v>0.35</v>
      </c>
      <c r="Q115" s="151">
        <f t="shared" si="53"/>
        <v>1120</v>
      </c>
      <c r="R115" s="151">
        <f t="shared" si="54"/>
        <v>280</v>
      </c>
      <c r="S115" s="151">
        <f t="shared" si="55"/>
        <v>224</v>
      </c>
      <c r="T115" s="151">
        <f t="shared" si="56"/>
        <v>201.6</v>
      </c>
      <c r="U115" s="151">
        <f t="shared" si="57"/>
        <v>224</v>
      </c>
      <c r="V115" s="151">
        <f t="shared" si="58"/>
        <v>246.4</v>
      </c>
      <c r="W115" s="151">
        <f t="shared" si="59"/>
        <v>268.8</v>
      </c>
      <c r="X115" s="151">
        <f t="shared" si="60"/>
        <v>291.2</v>
      </c>
      <c r="Y115" s="151">
        <f t="shared" si="61"/>
        <v>336</v>
      </c>
      <c r="Z115" s="151">
        <f t="shared" si="62"/>
        <v>392</v>
      </c>
      <c r="AA115" s="112">
        <f t="shared" si="63"/>
        <v>3584</v>
      </c>
    </row>
    <row r="116" spans="1:27" ht="15.75" thickBot="1" x14ac:dyDescent="0.3">
      <c r="A116" s="747"/>
      <c r="B116" s="718"/>
      <c r="C116" s="138" t="s">
        <v>667</v>
      </c>
      <c r="D116" s="183">
        <v>184</v>
      </c>
      <c r="E116" s="183">
        <v>317</v>
      </c>
      <c r="F116" s="146">
        <v>0.08</v>
      </c>
      <c r="G116" s="146">
        <v>7.0000000000000007E-2</v>
      </c>
      <c r="H116" s="146">
        <v>7.0000000000000007E-2</v>
      </c>
      <c r="I116" s="146">
        <v>7.0000000000000007E-2</v>
      </c>
      <c r="J116" s="146">
        <v>0.06</v>
      </c>
      <c r="K116" s="146">
        <v>0.06</v>
      </c>
      <c r="L116" s="146">
        <v>7.0000000000000007E-2</v>
      </c>
      <c r="M116" s="146">
        <v>7.0000000000000007E-2</v>
      </c>
      <c r="N116" s="146">
        <v>0.08</v>
      </c>
      <c r="O116" s="146">
        <v>0.1</v>
      </c>
      <c r="Q116" s="151">
        <f t="shared" si="53"/>
        <v>184</v>
      </c>
      <c r="R116" s="151">
        <f t="shared" si="54"/>
        <v>12.88</v>
      </c>
      <c r="S116" s="151">
        <f t="shared" si="55"/>
        <v>12.88</v>
      </c>
      <c r="T116" s="151">
        <f t="shared" si="56"/>
        <v>12.88</v>
      </c>
      <c r="U116" s="151">
        <f t="shared" si="57"/>
        <v>11.04</v>
      </c>
      <c r="V116" s="151">
        <f t="shared" si="58"/>
        <v>11.04</v>
      </c>
      <c r="W116" s="151">
        <f t="shared" si="59"/>
        <v>12.88</v>
      </c>
      <c r="X116" s="151">
        <f t="shared" si="60"/>
        <v>12.88</v>
      </c>
      <c r="Y116" s="151">
        <f t="shared" si="61"/>
        <v>14.72</v>
      </c>
      <c r="Z116" s="151">
        <f t="shared" si="62"/>
        <v>18.400000000000002</v>
      </c>
      <c r="AA116" s="112">
        <f t="shared" si="63"/>
        <v>303.59999999999997</v>
      </c>
    </row>
    <row r="117" spans="1:27" ht="26.25" thickBot="1" x14ac:dyDescent="0.3">
      <c r="A117" s="747"/>
      <c r="B117" s="718"/>
      <c r="C117" s="138" t="s">
        <v>668</v>
      </c>
      <c r="D117" s="175">
        <v>3</v>
      </c>
      <c r="E117" s="175" t="s">
        <v>669</v>
      </c>
      <c r="F117" s="146">
        <v>1</v>
      </c>
      <c r="G117" s="146">
        <v>0</v>
      </c>
      <c r="H117" s="146">
        <v>0</v>
      </c>
      <c r="I117" s="146">
        <v>0</v>
      </c>
      <c r="J117" s="146">
        <v>0</v>
      </c>
      <c r="K117" s="146">
        <v>0</v>
      </c>
      <c r="L117" s="146">
        <v>0</v>
      </c>
      <c r="M117" s="146">
        <v>0</v>
      </c>
      <c r="N117" s="146">
        <v>0</v>
      </c>
      <c r="O117" s="146">
        <v>0</v>
      </c>
      <c r="Q117" s="151">
        <f t="shared" si="53"/>
        <v>3</v>
      </c>
      <c r="R117" s="151">
        <f t="shared" si="54"/>
        <v>0</v>
      </c>
      <c r="S117" s="151">
        <f t="shared" si="55"/>
        <v>0</v>
      </c>
      <c r="T117" s="151">
        <f t="shared" si="56"/>
        <v>0</v>
      </c>
      <c r="U117" s="151">
        <f t="shared" si="57"/>
        <v>0</v>
      </c>
      <c r="V117" s="151">
        <f t="shared" si="58"/>
        <v>0</v>
      </c>
      <c r="W117" s="151">
        <f t="shared" si="59"/>
        <v>0</v>
      </c>
      <c r="X117" s="151">
        <f t="shared" si="60"/>
        <v>0</v>
      </c>
      <c r="Y117" s="151">
        <f t="shared" si="61"/>
        <v>0</v>
      </c>
      <c r="Z117" s="151">
        <f t="shared" si="62"/>
        <v>0</v>
      </c>
      <c r="AA117" s="112">
        <f t="shared" si="63"/>
        <v>3</v>
      </c>
    </row>
    <row r="118" spans="1:27" ht="15.75" thickBot="1" x14ac:dyDescent="0.3">
      <c r="A118" s="747"/>
      <c r="B118" s="718"/>
      <c r="C118" s="138" t="s">
        <v>670</v>
      </c>
      <c r="D118" s="175">
        <v>117</v>
      </c>
      <c r="E118" s="175">
        <v>127</v>
      </c>
      <c r="F118" s="146">
        <v>0.01</v>
      </c>
      <c r="G118" s="146">
        <v>0.01</v>
      </c>
      <c r="H118" s="146">
        <v>0.01</v>
      </c>
      <c r="I118" s="146">
        <v>0.01</v>
      </c>
      <c r="J118" s="146">
        <v>0.01</v>
      </c>
      <c r="K118" s="146">
        <v>0.01</v>
      </c>
      <c r="L118" s="146">
        <v>0.01</v>
      </c>
      <c r="M118" s="146">
        <v>0.01</v>
      </c>
      <c r="N118" s="146">
        <v>0.01</v>
      </c>
      <c r="O118" s="146">
        <v>0.01</v>
      </c>
      <c r="Q118" s="151">
        <f t="shared" si="53"/>
        <v>117</v>
      </c>
      <c r="R118" s="151">
        <f t="shared" si="54"/>
        <v>1.17</v>
      </c>
      <c r="S118" s="151">
        <f t="shared" si="55"/>
        <v>1.17</v>
      </c>
      <c r="T118" s="151">
        <f t="shared" si="56"/>
        <v>1.17</v>
      </c>
      <c r="U118" s="151">
        <f t="shared" si="57"/>
        <v>1.17</v>
      </c>
      <c r="V118" s="151">
        <f t="shared" si="58"/>
        <v>1.17</v>
      </c>
      <c r="W118" s="151">
        <f t="shared" si="59"/>
        <v>1.17</v>
      </c>
      <c r="X118" s="151">
        <f t="shared" si="60"/>
        <v>1.17</v>
      </c>
      <c r="Y118" s="151">
        <f t="shared" si="61"/>
        <v>1.17</v>
      </c>
      <c r="Z118" s="151">
        <f t="shared" si="62"/>
        <v>1.17</v>
      </c>
      <c r="AA118" s="112">
        <f t="shared" si="63"/>
        <v>127.53000000000002</v>
      </c>
    </row>
    <row r="119" spans="1:27" ht="15.75" thickBot="1" x14ac:dyDescent="0.3">
      <c r="A119" s="747"/>
      <c r="B119" s="718"/>
      <c r="C119" s="138" t="s">
        <v>671</v>
      </c>
      <c r="D119" s="183">
        <v>60</v>
      </c>
      <c r="E119" s="183">
        <v>78</v>
      </c>
      <c r="F119" s="146">
        <v>0.03</v>
      </c>
      <c r="G119" s="146">
        <v>0.03</v>
      </c>
      <c r="H119" s="146">
        <v>0.03</v>
      </c>
      <c r="I119" s="146">
        <v>0.03</v>
      </c>
      <c r="J119" s="146">
        <v>0.03</v>
      </c>
      <c r="K119" s="146">
        <v>0.03</v>
      </c>
      <c r="L119" s="146">
        <v>0.03</v>
      </c>
      <c r="M119" s="146">
        <v>0.03</v>
      </c>
      <c r="N119" s="146">
        <v>0.03</v>
      </c>
      <c r="O119" s="146">
        <v>0.04</v>
      </c>
      <c r="Q119" s="151">
        <f t="shared" si="53"/>
        <v>60</v>
      </c>
      <c r="R119" s="151">
        <f t="shared" si="54"/>
        <v>1.7999999999999998</v>
      </c>
      <c r="S119" s="151">
        <f t="shared" si="55"/>
        <v>1.7999999999999998</v>
      </c>
      <c r="T119" s="151">
        <f t="shared" si="56"/>
        <v>1.7999999999999998</v>
      </c>
      <c r="U119" s="151">
        <f t="shared" si="57"/>
        <v>1.7999999999999998</v>
      </c>
      <c r="V119" s="151">
        <f t="shared" si="58"/>
        <v>1.7999999999999998</v>
      </c>
      <c r="W119" s="151">
        <f t="shared" si="59"/>
        <v>1.7999999999999998</v>
      </c>
      <c r="X119" s="151">
        <f t="shared" si="60"/>
        <v>1.7999999999999998</v>
      </c>
      <c r="Y119" s="151">
        <f t="shared" si="61"/>
        <v>1.7999999999999998</v>
      </c>
      <c r="Z119" s="151">
        <f t="shared" si="62"/>
        <v>2.4</v>
      </c>
      <c r="AA119" s="112">
        <f t="shared" si="63"/>
        <v>76.799999999999983</v>
      </c>
    </row>
    <row r="120" spans="1:27" ht="15.75" thickBot="1" x14ac:dyDescent="0.3">
      <c r="A120" s="747"/>
      <c r="B120" s="718"/>
      <c r="C120" s="138" t="s">
        <v>672</v>
      </c>
      <c r="D120" s="183">
        <v>54</v>
      </c>
      <c r="E120" s="183">
        <v>71</v>
      </c>
      <c r="F120" s="146">
        <v>0.03</v>
      </c>
      <c r="G120" s="146">
        <v>0.03</v>
      </c>
      <c r="H120" s="146">
        <v>0.03</v>
      </c>
      <c r="I120" s="146">
        <v>0.03</v>
      </c>
      <c r="J120" s="146">
        <v>0.03</v>
      </c>
      <c r="K120" s="146">
        <v>0.03</v>
      </c>
      <c r="L120" s="146">
        <v>0.03</v>
      </c>
      <c r="M120" s="146">
        <v>0.04</v>
      </c>
      <c r="N120" s="146">
        <v>0.04</v>
      </c>
      <c r="O120" s="146">
        <v>0.03</v>
      </c>
      <c r="Q120" s="151">
        <f t="shared" si="53"/>
        <v>54</v>
      </c>
      <c r="R120" s="151">
        <f t="shared" si="54"/>
        <v>1.6199999999999999</v>
      </c>
      <c r="S120" s="151">
        <f t="shared" si="55"/>
        <v>1.6199999999999999</v>
      </c>
      <c r="T120" s="151">
        <f t="shared" si="56"/>
        <v>1.6199999999999999</v>
      </c>
      <c r="U120" s="151">
        <f t="shared" si="57"/>
        <v>1.6199999999999999</v>
      </c>
      <c r="V120" s="151">
        <f t="shared" si="58"/>
        <v>1.6199999999999999</v>
      </c>
      <c r="W120" s="151">
        <f t="shared" si="59"/>
        <v>1.6199999999999999</v>
      </c>
      <c r="X120" s="151">
        <f t="shared" si="60"/>
        <v>2.16</v>
      </c>
      <c r="Y120" s="151">
        <f t="shared" si="61"/>
        <v>2.16</v>
      </c>
      <c r="Z120" s="151">
        <f t="shared" si="62"/>
        <v>1.6199999999999999</v>
      </c>
      <c r="AA120" s="112">
        <f t="shared" si="63"/>
        <v>69.659999999999982</v>
      </c>
    </row>
    <row r="121" spans="1:27" ht="15.75" thickBot="1" x14ac:dyDescent="0.3">
      <c r="A121" s="747"/>
      <c r="B121" s="718"/>
      <c r="C121" s="138" t="s">
        <v>673</v>
      </c>
      <c r="D121" s="175">
        <v>299</v>
      </c>
      <c r="E121" s="175">
        <v>399</v>
      </c>
      <c r="F121" s="146">
        <v>0.03</v>
      </c>
      <c r="G121" s="146">
        <v>0.03</v>
      </c>
      <c r="H121" s="146">
        <v>0.03</v>
      </c>
      <c r="I121" s="146">
        <v>0.04</v>
      </c>
      <c r="J121" s="146">
        <v>0.05</v>
      </c>
      <c r="K121" s="146">
        <v>0.04</v>
      </c>
      <c r="L121" s="146">
        <v>0.03</v>
      </c>
      <c r="M121" s="146">
        <v>0.03</v>
      </c>
      <c r="N121" s="146">
        <v>0.03</v>
      </c>
      <c r="O121" s="146">
        <v>0.03</v>
      </c>
      <c r="Q121" s="151">
        <f t="shared" si="53"/>
        <v>299</v>
      </c>
      <c r="R121" s="151">
        <f t="shared" si="54"/>
        <v>8.9699999999999989</v>
      </c>
      <c r="S121" s="151">
        <f t="shared" si="55"/>
        <v>8.9699999999999989</v>
      </c>
      <c r="T121" s="151">
        <f t="shared" si="56"/>
        <v>11.96</v>
      </c>
      <c r="U121" s="151">
        <f t="shared" si="57"/>
        <v>14.950000000000001</v>
      </c>
      <c r="V121" s="151">
        <f t="shared" si="58"/>
        <v>11.96</v>
      </c>
      <c r="W121" s="151">
        <f t="shared" si="59"/>
        <v>8.9699999999999989</v>
      </c>
      <c r="X121" s="151">
        <f t="shared" si="60"/>
        <v>8.9699999999999989</v>
      </c>
      <c r="Y121" s="151">
        <f t="shared" si="61"/>
        <v>8.9699999999999989</v>
      </c>
      <c r="Z121" s="151">
        <f t="shared" si="62"/>
        <v>8.9699999999999989</v>
      </c>
      <c r="AA121" s="112">
        <f t="shared" si="63"/>
        <v>391.69000000000005</v>
      </c>
    </row>
    <row r="122" spans="1:27" ht="15.75" thickBot="1" x14ac:dyDescent="0.3">
      <c r="A122" s="747"/>
      <c r="B122" s="718"/>
      <c r="C122" s="138" t="s">
        <v>674</v>
      </c>
      <c r="D122" s="183">
        <v>58</v>
      </c>
      <c r="E122" s="183">
        <v>98</v>
      </c>
      <c r="F122" s="146">
        <v>0.08</v>
      </c>
      <c r="G122" s="146">
        <v>7.0000000000000007E-2</v>
      </c>
      <c r="H122" s="146">
        <v>0.06</v>
      </c>
      <c r="I122" s="146">
        <v>0.05</v>
      </c>
      <c r="J122" s="146">
        <v>0.06</v>
      </c>
      <c r="K122" s="146">
        <v>0.06</v>
      </c>
      <c r="L122" s="146">
        <v>0.08</v>
      </c>
      <c r="M122" s="146">
        <v>0.08</v>
      </c>
      <c r="N122" s="146">
        <v>0.08</v>
      </c>
      <c r="O122" s="146">
        <v>7.0000000000000007E-2</v>
      </c>
      <c r="Q122" s="151">
        <f t="shared" si="53"/>
        <v>58</v>
      </c>
      <c r="R122" s="151">
        <f t="shared" si="54"/>
        <v>4.0600000000000005</v>
      </c>
      <c r="S122" s="151">
        <f t="shared" si="55"/>
        <v>3.48</v>
      </c>
      <c r="T122" s="151">
        <f t="shared" si="56"/>
        <v>2.9000000000000004</v>
      </c>
      <c r="U122" s="151">
        <f t="shared" si="57"/>
        <v>3.48</v>
      </c>
      <c r="V122" s="151">
        <f t="shared" si="58"/>
        <v>3.48</v>
      </c>
      <c r="W122" s="151">
        <f t="shared" si="59"/>
        <v>4.6399999999999997</v>
      </c>
      <c r="X122" s="151">
        <f t="shared" si="60"/>
        <v>4.6399999999999997</v>
      </c>
      <c r="Y122" s="151">
        <f t="shared" si="61"/>
        <v>4.6399999999999997</v>
      </c>
      <c r="Z122" s="151">
        <f t="shared" si="62"/>
        <v>4.0600000000000005</v>
      </c>
      <c r="AA122" s="112">
        <f t="shared" si="63"/>
        <v>93.380000000000024</v>
      </c>
    </row>
    <row r="123" spans="1:27" ht="15.75" thickBot="1" x14ac:dyDescent="0.3">
      <c r="A123" s="747"/>
      <c r="B123" s="718"/>
      <c r="C123" s="138" t="s">
        <v>675</v>
      </c>
      <c r="D123" s="183">
        <v>120</v>
      </c>
      <c r="E123" s="183">
        <v>600</v>
      </c>
      <c r="F123" s="146">
        <v>0.4</v>
      </c>
      <c r="G123" s="146">
        <v>0.5</v>
      </c>
      <c r="H123" s="146">
        <v>0.6</v>
      </c>
      <c r="I123" s="146">
        <v>0.5</v>
      </c>
      <c r="J123" s="146">
        <v>0.5</v>
      </c>
      <c r="K123" s="146">
        <v>0.4</v>
      </c>
      <c r="L123" s="146">
        <v>0.4</v>
      </c>
      <c r="M123" s="146">
        <v>0.4</v>
      </c>
      <c r="N123" s="146">
        <v>0.3</v>
      </c>
      <c r="O123" s="146">
        <v>0.3</v>
      </c>
      <c r="Q123" s="151">
        <f t="shared" si="53"/>
        <v>120</v>
      </c>
      <c r="R123" s="151">
        <f t="shared" si="54"/>
        <v>60</v>
      </c>
      <c r="S123" s="151">
        <f t="shared" si="55"/>
        <v>72</v>
      </c>
      <c r="T123" s="151">
        <f t="shared" si="56"/>
        <v>60</v>
      </c>
      <c r="U123" s="151">
        <f t="shared" si="57"/>
        <v>60</v>
      </c>
      <c r="V123" s="151">
        <f t="shared" si="58"/>
        <v>48</v>
      </c>
      <c r="W123" s="151">
        <f t="shared" si="59"/>
        <v>48</v>
      </c>
      <c r="X123" s="151">
        <f t="shared" si="60"/>
        <v>48</v>
      </c>
      <c r="Y123" s="151">
        <f t="shared" si="61"/>
        <v>36</v>
      </c>
      <c r="Z123" s="151">
        <f t="shared" si="62"/>
        <v>36</v>
      </c>
      <c r="AA123" s="112">
        <f t="shared" si="63"/>
        <v>588</v>
      </c>
    </row>
    <row r="124" spans="1:27" ht="15.75" thickBot="1" x14ac:dyDescent="0.3">
      <c r="A124" s="747"/>
      <c r="B124" s="718"/>
      <c r="C124" s="138" t="s">
        <v>676</v>
      </c>
      <c r="D124" s="175">
        <v>60</v>
      </c>
      <c r="E124" s="175">
        <v>117</v>
      </c>
      <c r="F124" s="146">
        <v>1</v>
      </c>
      <c r="G124" s="146">
        <v>0</v>
      </c>
      <c r="H124" s="146">
        <v>0</v>
      </c>
      <c r="I124" s="146">
        <v>0</v>
      </c>
      <c r="J124" s="146">
        <v>0</v>
      </c>
      <c r="K124" s="146">
        <v>0</v>
      </c>
      <c r="L124" s="146">
        <v>0</v>
      </c>
      <c r="M124" s="146">
        <v>0</v>
      </c>
      <c r="N124" s="146">
        <v>0</v>
      </c>
      <c r="O124" s="146">
        <v>0</v>
      </c>
      <c r="Q124" s="151">
        <f t="shared" si="53"/>
        <v>60</v>
      </c>
      <c r="R124" s="151">
        <f t="shared" si="54"/>
        <v>0</v>
      </c>
      <c r="S124" s="151">
        <f t="shared" si="55"/>
        <v>0</v>
      </c>
      <c r="T124" s="151">
        <f t="shared" si="56"/>
        <v>0</v>
      </c>
      <c r="U124" s="151">
        <f t="shared" si="57"/>
        <v>0</v>
      </c>
      <c r="V124" s="151">
        <f t="shared" si="58"/>
        <v>0</v>
      </c>
      <c r="W124" s="151">
        <f t="shared" si="59"/>
        <v>0</v>
      </c>
      <c r="X124" s="151">
        <f t="shared" si="60"/>
        <v>0</v>
      </c>
      <c r="Y124" s="151">
        <f t="shared" si="61"/>
        <v>0</v>
      </c>
      <c r="Z124" s="151">
        <f t="shared" si="62"/>
        <v>0</v>
      </c>
      <c r="AA124" s="112">
        <f t="shared" si="63"/>
        <v>60</v>
      </c>
    </row>
    <row r="125" spans="1:27" ht="39" thickBot="1" x14ac:dyDescent="0.3">
      <c r="A125" s="747"/>
      <c r="B125" s="719"/>
      <c r="C125" s="138" t="s">
        <v>677</v>
      </c>
      <c r="D125" s="175">
        <v>0</v>
      </c>
      <c r="E125" s="178">
        <v>1</v>
      </c>
      <c r="F125" s="146">
        <v>1</v>
      </c>
      <c r="G125" s="146">
        <v>0</v>
      </c>
      <c r="H125" s="146">
        <v>0</v>
      </c>
      <c r="I125" s="146">
        <v>0</v>
      </c>
      <c r="J125" s="146">
        <v>0</v>
      </c>
      <c r="K125" s="146">
        <v>0</v>
      </c>
      <c r="L125" s="146">
        <v>0</v>
      </c>
      <c r="M125" s="146">
        <v>0</v>
      </c>
      <c r="N125" s="146">
        <v>0</v>
      </c>
      <c r="O125" s="146">
        <v>0</v>
      </c>
      <c r="Q125" s="151">
        <f t="shared" si="53"/>
        <v>0</v>
      </c>
      <c r="R125" s="151">
        <f t="shared" si="54"/>
        <v>0</v>
      </c>
      <c r="S125" s="151">
        <f t="shared" si="55"/>
        <v>0</v>
      </c>
      <c r="T125" s="151">
        <f t="shared" si="56"/>
        <v>0</v>
      </c>
      <c r="U125" s="151">
        <f t="shared" si="57"/>
        <v>0</v>
      </c>
      <c r="V125" s="151">
        <f t="shared" si="58"/>
        <v>0</v>
      </c>
      <c r="W125" s="151">
        <f t="shared" si="59"/>
        <v>0</v>
      </c>
      <c r="X125" s="151">
        <f t="shared" si="60"/>
        <v>0</v>
      </c>
      <c r="Y125" s="151">
        <f t="shared" si="61"/>
        <v>0</v>
      </c>
      <c r="Z125" s="151">
        <f t="shared" si="62"/>
        <v>0</v>
      </c>
      <c r="AA125" s="112">
        <f t="shared" si="63"/>
        <v>0</v>
      </c>
    </row>
    <row r="126" spans="1:27" ht="39" thickBot="1" x14ac:dyDescent="0.3">
      <c r="A126" s="747"/>
      <c r="B126" s="184" t="s">
        <v>678</v>
      </c>
      <c r="C126" s="185" t="s">
        <v>679</v>
      </c>
      <c r="D126" s="178">
        <v>1</v>
      </c>
      <c r="E126" s="178">
        <v>1</v>
      </c>
      <c r="F126" s="169">
        <v>0</v>
      </c>
      <c r="G126" s="169">
        <v>0</v>
      </c>
      <c r="H126" s="169">
        <v>0</v>
      </c>
      <c r="I126" s="169">
        <v>0</v>
      </c>
      <c r="J126" s="169">
        <v>0</v>
      </c>
      <c r="K126" s="169">
        <v>0</v>
      </c>
      <c r="L126" s="169">
        <v>0</v>
      </c>
      <c r="M126" s="169">
        <v>0</v>
      </c>
      <c r="N126" s="169">
        <v>0</v>
      </c>
      <c r="O126" s="169">
        <v>0</v>
      </c>
      <c r="Q126" s="151">
        <f t="shared" si="53"/>
        <v>1</v>
      </c>
      <c r="R126" s="151">
        <f t="shared" si="54"/>
        <v>0</v>
      </c>
      <c r="S126" s="151">
        <f t="shared" si="55"/>
        <v>0</v>
      </c>
      <c r="T126" s="151">
        <f t="shared" si="56"/>
        <v>0</v>
      </c>
      <c r="U126" s="151">
        <f t="shared" si="57"/>
        <v>0</v>
      </c>
      <c r="V126" s="151">
        <f t="shared" si="58"/>
        <v>0</v>
      </c>
      <c r="W126" s="151">
        <f t="shared" si="59"/>
        <v>0</v>
      </c>
      <c r="X126" s="151">
        <f t="shared" si="60"/>
        <v>0</v>
      </c>
      <c r="Y126" s="151">
        <f t="shared" si="61"/>
        <v>0</v>
      </c>
      <c r="Z126" s="151">
        <f t="shared" si="62"/>
        <v>0</v>
      </c>
      <c r="AA126" s="112">
        <f t="shared" si="63"/>
        <v>1</v>
      </c>
    </row>
    <row r="127" spans="1:27" ht="39" thickBot="1" x14ac:dyDescent="0.3">
      <c r="A127" s="747"/>
      <c r="B127" s="142" t="s">
        <v>680</v>
      </c>
      <c r="C127" s="185" t="s">
        <v>681</v>
      </c>
      <c r="D127" s="178">
        <v>0</v>
      </c>
      <c r="E127" s="178">
        <v>1</v>
      </c>
      <c r="F127" s="169">
        <v>0.3</v>
      </c>
      <c r="G127" s="169">
        <v>0.7</v>
      </c>
      <c r="H127" s="169">
        <v>0</v>
      </c>
      <c r="I127" s="169">
        <v>0</v>
      </c>
      <c r="J127" s="169">
        <v>0</v>
      </c>
      <c r="K127" s="169">
        <v>0</v>
      </c>
      <c r="L127" s="169">
        <v>0</v>
      </c>
      <c r="M127" s="169">
        <v>0</v>
      </c>
      <c r="N127" s="169">
        <v>0</v>
      </c>
      <c r="O127" s="169">
        <v>0</v>
      </c>
      <c r="Q127" s="151">
        <f t="shared" si="53"/>
        <v>0</v>
      </c>
      <c r="R127" s="151">
        <f t="shared" si="54"/>
        <v>0</v>
      </c>
      <c r="S127" s="151">
        <f t="shared" si="55"/>
        <v>0</v>
      </c>
      <c r="T127" s="151">
        <f t="shared" si="56"/>
        <v>0</v>
      </c>
      <c r="U127" s="151">
        <f t="shared" si="57"/>
        <v>0</v>
      </c>
      <c r="V127" s="151">
        <f t="shared" si="58"/>
        <v>0</v>
      </c>
      <c r="W127" s="151">
        <f t="shared" si="59"/>
        <v>0</v>
      </c>
      <c r="X127" s="151">
        <f t="shared" si="60"/>
        <v>0</v>
      </c>
      <c r="Y127" s="151">
        <f t="shared" si="61"/>
        <v>0</v>
      </c>
      <c r="Z127" s="151">
        <f t="shared" si="62"/>
        <v>0</v>
      </c>
      <c r="AA127" s="112">
        <f t="shared" si="63"/>
        <v>0</v>
      </c>
    </row>
    <row r="128" spans="1:27" ht="26.25" thickBot="1" x14ac:dyDescent="0.3">
      <c r="A128" s="747"/>
      <c r="B128" s="716" t="s">
        <v>682</v>
      </c>
      <c r="C128" s="138" t="s">
        <v>683</v>
      </c>
      <c r="D128" s="175">
        <v>0</v>
      </c>
      <c r="E128" s="178">
        <v>1</v>
      </c>
      <c r="F128" s="146">
        <v>1</v>
      </c>
      <c r="G128" s="146">
        <v>0</v>
      </c>
      <c r="H128" s="146">
        <v>0</v>
      </c>
      <c r="I128" s="146">
        <v>0</v>
      </c>
      <c r="J128" s="146">
        <v>0</v>
      </c>
      <c r="K128" s="146">
        <v>0</v>
      </c>
      <c r="L128" s="146">
        <v>0</v>
      </c>
      <c r="M128" s="146">
        <v>0</v>
      </c>
      <c r="N128" s="146">
        <v>0</v>
      </c>
      <c r="O128" s="146">
        <v>0</v>
      </c>
      <c r="Q128" s="151">
        <f t="shared" si="53"/>
        <v>0</v>
      </c>
      <c r="R128" s="151">
        <f t="shared" si="54"/>
        <v>0</v>
      </c>
      <c r="S128" s="151">
        <f t="shared" si="55"/>
        <v>0</v>
      </c>
      <c r="T128" s="151">
        <f t="shared" si="56"/>
        <v>0</v>
      </c>
      <c r="U128" s="151">
        <f t="shared" si="57"/>
        <v>0</v>
      </c>
      <c r="V128" s="151">
        <f t="shared" si="58"/>
        <v>0</v>
      </c>
      <c r="W128" s="151">
        <f t="shared" si="59"/>
        <v>0</v>
      </c>
      <c r="X128" s="151">
        <f t="shared" si="60"/>
        <v>0</v>
      </c>
      <c r="Y128" s="151">
        <f t="shared" si="61"/>
        <v>0</v>
      </c>
      <c r="Z128" s="151">
        <f t="shared" si="62"/>
        <v>0</v>
      </c>
      <c r="AA128" s="112">
        <f t="shared" si="63"/>
        <v>0</v>
      </c>
    </row>
    <row r="129" spans="1:27" ht="15.75" thickBot="1" x14ac:dyDescent="0.3">
      <c r="A129" s="747"/>
      <c r="B129" s="718"/>
      <c r="C129" s="138" t="s">
        <v>684</v>
      </c>
      <c r="D129" s="175">
        <v>0</v>
      </c>
      <c r="E129" s="178">
        <v>1</v>
      </c>
      <c r="F129" s="146">
        <v>0</v>
      </c>
      <c r="G129" s="146">
        <v>0</v>
      </c>
      <c r="H129" s="146">
        <v>0</v>
      </c>
      <c r="I129" s="146">
        <v>0</v>
      </c>
      <c r="J129" s="146">
        <v>0</v>
      </c>
      <c r="K129" s="146">
        <v>0</v>
      </c>
      <c r="L129" s="146">
        <v>0</v>
      </c>
      <c r="M129" s="146">
        <v>0</v>
      </c>
      <c r="N129" s="146">
        <v>0</v>
      </c>
      <c r="O129" s="146">
        <v>0</v>
      </c>
      <c r="Q129" s="151">
        <f t="shared" si="53"/>
        <v>0</v>
      </c>
      <c r="R129" s="151">
        <f t="shared" si="54"/>
        <v>0</v>
      </c>
      <c r="S129" s="151">
        <f t="shared" si="55"/>
        <v>0</v>
      </c>
      <c r="T129" s="151">
        <f t="shared" si="56"/>
        <v>0</v>
      </c>
      <c r="U129" s="151">
        <f t="shared" si="57"/>
        <v>0</v>
      </c>
      <c r="V129" s="151">
        <f t="shared" si="58"/>
        <v>0</v>
      </c>
      <c r="W129" s="151">
        <f t="shared" si="59"/>
        <v>0</v>
      </c>
      <c r="X129" s="151">
        <f t="shared" si="60"/>
        <v>0</v>
      </c>
      <c r="Y129" s="151">
        <f t="shared" si="61"/>
        <v>0</v>
      </c>
      <c r="Z129" s="151">
        <f t="shared" si="62"/>
        <v>0</v>
      </c>
      <c r="AA129" s="112">
        <f t="shared" si="63"/>
        <v>0</v>
      </c>
    </row>
    <row r="130" spans="1:27" ht="39" thickBot="1" x14ac:dyDescent="0.3">
      <c r="A130" s="747"/>
      <c r="B130" s="717"/>
      <c r="C130" s="138" t="s">
        <v>685</v>
      </c>
      <c r="D130" s="175">
        <v>0</v>
      </c>
      <c r="E130" s="178">
        <v>1</v>
      </c>
      <c r="F130" s="146">
        <v>0.5</v>
      </c>
      <c r="G130" s="146">
        <v>0.45</v>
      </c>
      <c r="H130" s="146">
        <v>0.05</v>
      </c>
      <c r="I130" s="146">
        <v>0</v>
      </c>
      <c r="J130" s="146">
        <v>0</v>
      </c>
      <c r="K130" s="146">
        <v>0</v>
      </c>
      <c r="L130" s="146">
        <v>0</v>
      </c>
      <c r="M130" s="146">
        <v>0</v>
      </c>
      <c r="N130" s="146">
        <v>0</v>
      </c>
      <c r="O130" s="146">
        <v>0</v>
      </c>
      <c r="Q130" s="151">
        <f t="shared" si="53"/>
        <v>0</v>
      </c>
      <c r="R130" s="151">
        <f t="shared" si="54"/>
        <v>0</v>
      </c>
      <c r="S130" s="151">
        <f t="shared" si="55"/>
        <v>0</v>
      </c>
      <c r="T130" s="151">
        <f t="shared" si="56"/>
        <v>0</v>
      </c>
      <c r="U130" s="151">
        <f t="shared" si="57"/>
        <v>0</v>
      </c>
      <c r="V130" s="151">
        <f t="shared" si="58"/>
        <v>0</v>
      </c>
      <c r="W130" s="151">
        <f t="shared" si="59"/>
        <v>0</v>
      </c>
      <c r="X130" s="151">
        <f t="shared" si="60"/>
        <v>0</v>
      </c>
      <c r="Y130" s="151">
        <f t="shared" si="61"/>
        <v>0</v>
      </c>
      <c r="Z130" s="151">
        <f t="shared" si="62"/>
        <v>0</v>
      </c>
      <c r="AA130" s="112">
        <f t="shared" si="63"/>
        <v>0</v>
      </c>
    </row>
    <row r="131" spans="1:27" ht="39" thickBot="1" x14ac:dyDescent="0.3">
      <c r="A131" s="747"/>
      <c r="B131" s="137" t="s">
        <v>686</v>
      </c>
      <c r="C131" s="138" t="s">
        <v>687</v>
      </c>
      <c r="D131" s="175">
        <v>0</v>
      </c>
      <c r="E131" s="178">
        <v>1</v>
      </c>
      <c r="F131" s="146">
        <v>0.5</v>
      </c>
      <c r="G131" s="146">
        <v>0.45</v>
      </c>
      <c r="H131" s="146">
        <v>0.05</v>
      </c>
      <c r="I131" s="146">
        <v>0</v>
      </c>
      <c r="J131" s="146">
        <v>0</v>
      </c>
      <c r="K131" s="146">
        <v>0</v>
      </c>
      <c r="L131" s="146">
        <v>0</v>
      </c>
      <c r="M131" s="146">
        <v>0</v>
      </c>
      <c r="N131" s="146">
        <v>0</v>
      </c>
      <c r="O131" s="146">
        <v>0</v>
      </c>
      <c r="Q131" s="151">
        <f t="shared" si="53"/>
        <v>0</v>
      </c>
      <c r="R131" s="151">
        <f t="shared" si="54"/>
        <v>0</v>
      </c>
      <c r="S131" s="151">
        <f t="shared" si="55"/>
        <v>0</v>
      </c>
      <c r="T131" s="151">
        <f t="shared" si="56"/>
        <v>0</v>
      </c>
      <c r="U131" s="151">
        <f t="shared" si="57"/>
        <v>0</v>
      </c>
      <c r="V131" s="151">
        <f t="shared" si="58"/>
        <v>0</v>
      </c>
      <c r="W131" s="151">
        <f t="shared" si="59"/>
        <v>0</v>
      </c>
      <c r="X131" s="151">
        <f t="shared" si="60"/>
        <v>0</v>
      </c>
      <c r="Y131" s="151">
        <f t="shared" si="61"/>
        <v>0</v>
      </c>
      <c r="Z131" s="151">
        <f t="shared" si="62"/>
        <v>0</v>
      </c>
      <c r="AA131" s="112">
        <f t="shared" si="63"/>
        <v>0</v>
      </c>
    </row>
    <row r="132" spans="1:27" ht="51.75" thickBot="1" x14ac:dyDescent="0.3">
      <c r="A132" s="748"/>
      <c r="B132" s="137" t="s">
        <v>688</v>
      </c>
      <c r="C132" s="138" t="s">
        <v>689</v>
      </c>
      <c r="D132" s="175">
        <v>180</v>
      </c>
      <c r="E132" s="175">
        <v>206</v>
      </c>
      <c r="F132" s="146">
        <v>1</v>
      </c>
      <c r="G132" s="146">
        <v>0</v>
      </c>
      <c r="H132" s="146">
        <v>0</v>
      </c>
      <c r="I132" s="146">
        <v>0</v>
      </c>
      <c r="J132" s="146">
        <v>0</v>
      </c>
      <c r="K132" s="146">
        <v>0</v>
      </c>
      <c r="L132" s="146">
        <v>0</v>
      </c>
      <c r="M132" s="146">
        <v>0</v>
      </c>
      <c r="N132" s="146">
        <v>0</v>
      </c>
      <c r="O132" s="146">
        <v>0</v>
      </c>
      <c r="Q132" s="151">
        <f t="shared" si="53"/>
        <v>180</v>
      </c>
      <c r="R132" s="151">
        <f t="shared" si="54"/>
        <v>0</v>
      </c>
      <c r="S132" s="151">
        <f t="shared" si="55"/>
        <v>0</v>
      </c>
      <c r="T132" s="151">
        <f t="shared" si="56"/>
        <v>0</v>
      </c>
      <c r="U132" s="151">
        <f t="shared" si="57"/>
        <v>0</v>
      </c>
      <c r="V132" s="151">
        <f t="shared" si="58"/>
        <v>0</v>
      </c>
      <c r="W132" s="151">
        <f t="shared" si="59"/>
        <v>0</v>
      </c>
      <c r="X132" s="151">
        <f t="shared" si="60"/>
        <v>0</v>
      </c>
      <c r="Y132" s="151">
        <f t="shared" si="61"/>
        <v>0</v>
      </c>
      <c r="Z132" s="151">
        <f t="shared" si="62"/>
        <v>0</v>
      </c>
      <c r="AA132" s="112">
        <f t="shared" si="63"/>
        <v>180</v>
      </c>
    </row>
  </sheetData>
  <mergeCells count="64">
    <mergeCell ref="Q101:Z101"/>
    <mergeCell ref="A103:A132"/>
    <mergeCell ref="B104:B125"/>
    <mergeCell ref="B128:B130"/>
    <mergeCell ref="D101:D102"/>
    <mergeCell ref="E101:E102"/>
    <mergeCell ref="F101:O101"/>
    <mergeCell ref="A101:A102"/>
    <mergeCell ref="B101:B102"/>
    <mergeCell ref="C101:C102"/>
    <mergeCell ref="C91:C93"/>
    <mergeCell ref="Q72:Z72"/>
    <mergeCell ref="A74:A97"/>
    <mergeCell ref="B74:B79"/>
    <mergeCell ref="B80:B82"/>
    <mergeCell ref="B83:B86"/>
    <mergeCell ref="B87:B88"/>
    <mergeCell ref="B89:B96"/>
    <mergeCell ref="A72:A73"/>
    <mergeCell ref="B72:B73"/>
    <mergeCell ref="C72:C73"/>
    <mergeCell ref="D72:D73"/>
    <mergeCell ref="E72:E73"/>
    <mergeCell ref="F72:O72"/>
    <mergeCell ref="B28:B30"/>
    <mergeCell ref="F17:O17"/>
    <mergeCell ref="A19:A42"/>
    <mergeCell ref="B19:B21"/>
    <mergeCell ref="A47:A70"/>
    <mergeCell ref="B47:B50"/>
    <mergeCell ref="B52:B58"/>
    <mergeCell ref="B60:B61"/>
    <mergeCell ref="B62:B64"/>
    <mergeCell ref="B65:B66"/>
    <mergeCell ref="B67:B70"/>
    <mergeCell ref="F45:O45"/>
    <mergeCell ref="A45:A46"/>
    <mergeCell ref="B22:B27"/>
    <mergeCell ref="A17:A18"/>
    <mergeCell ref="B17:B18"/>
    <mergeCell ref="Q45:Z45"/>
    <mergeCell ref="B35:B36"/>
    <mergeCell ref="B39:B42"/>
    <mergeCell ref="B31:B32"/>
    <mergeCell ref="B33:B34"/>
    <mergeCell ref="B45:B46"/>
    <mergeCell ref="C45:C46"/>
    <mergeCell ref="D45:D46"/>
    <mergeCell ref="E45:E46"/>
    <mergeCell ref="Q17:Z17"/>
    <mergeCell ref="C17:C18"/>
    <mergeCell ref="D17:D18"/>
    <mergeCell ref="E17:E18"/>
    <mergeCell ref="A2:A3"/>
    <mergeCell ref="B2:B3"/>
    <mergeCell ref="C2:C3"/>
    <mergeCell ref="D2:D3"/>
    <mergeCell ref="E2:E3"/>
    <mergeCell ref="A4:A15"/>
    <mergeCell ref="B5:B7"/>
    <mergeCell ref="B8:B10"/>
    <mergeCell ref="B11:B12"/>
    <mergeCell ref="Q2:Z2"/>
    <mergeCell ref="F2:O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Z28"/>
  <sheetViews>
    <sheetView showGridLines="0" topLeftCell="G2" zoomScale="80" zoomScaleNormal="80" zoomScalePageLayoutView="50" workbookViewId="0">
      <selection activeCell="AO13" sqref="AO13"/>
    </sheetView>
  </sheetViews>
  <sheetFormatPr baseColWidth="10" defaultRowHeight="15" x14ac:dyDescent="0.25"/>
  <cols>
    <col min="1" max="1" width="12.28515625" customWidth="1"/>
    <col min="2" max="2" width="23" customWidth="1"/>
    <col min="3" max="3" width="10.42578125" customWidth="1"/>
    <col min="4" max="4" width="51.42578125" customWidth="1"/>
    <col min="5" max="5" width="6.28515625" customWidth="1"/>
    <col min="6" max="8" width="14.28515625" customWidth="1"/>
    <col min="9" max="9" width="17.28515625" customWidth="1"/>
    <col min="10" max="10" width="16.28515625" customWidth="1"/>
    <col min="11" max="11" width="14.28515625" customWidth="1"/>
    <col min="12" max="17" width="11.42578125" hidden="1" customWidth="1"/>
    <col min="18" max="18" width="11.42578125" style="67" hidden="1" customWidth="1"/>
    <col min="19" max="20" width="11.42578125" hidden="1" customWidth="1"/>
    <col min="21" max="21" width="14.85546875" hidden="1" customWidth="1"/>
    <col min="22" max="22" width="0.140625" hidden="1" customWidth="1"/>
    <col min="23" max="23" width="17.28515625" hidden="1" customWidth="1"/>
    <col min="24" max="24" width="16.28515625" hidden="1" customWidth="1"/>
    <col min="25" max="25" width="14.28515625" hidden="1" customWidth="1"/>
    <col min="26" max="31" width="11.42578125" hidden="1" customWidth="1"/>
    <col min="32" max="32" width="11.42578125" style="67" hidden="1" customWidth="1"/>
    <col min="33" max="33" width="11.42578125" hidden="1" customWidth="1"/>
    <col min="34" max="34" width="12" hidden="1" customWidth="1"/>
    <col min="35" max="35" width="13.140625" hidden="1" customWidth="1"/>
    <col min="36" max="36" width="85.28515625" hidden="1" customWidth="1"/>
    <col min="37" max="37" width="17.28515625" hidden="1" customWidth="1"/>
    <col min="38" max="38" width="16.28515625" hidden="1" customWidth="1"/>
    <col min="39" max="39" width="14.28515625" hidden="1" customWidth="1"/>
    <col min="40" max="42" width="11.42578125" customWidth="1"/>
    <col min="43" max="43" width="12" customWidth="1"/>
    <col min="44" max="44" width="11.42578125" customWidth="1"/>
    <col min="45" max="45" width="13" customWidth="1"/>
    <col min="46" max="46" width="11.42578125" style="67" customWidth="1"/>
    <col min="47" max="47" width="11.42578125" customWidth="1"/>
    <col min="48" max="48" width="12" customWidth="1"/>
    <col min="49" max="49" width="13.140625" customWidth="1"/>
    <col min="50" max="50" width="85.28515625" customWidth="1"/>
    <col min="52" max="52" width="11.42578125" style="307"/>
  </cols>
  <sheetData>
    <row r="1" spans="1:52" ht="15" customHeight="1" x14ac:dyDescent="0.25">
      <c r="A1" s="481" t="s">
        <v>408</v>
      </c>
      <c r="B1" s="482"/>
      <c r="C1" s="483" t="s">
        <v>407</v>
      </c>
      <c r="D1" s="484"/>
      <c r="E1" s="485"/>
      <c r="F1" s="486"/>
      <c r="G1" s="487"/>
      <c r="H1" s="488"/>
      <c r="I1" s="489" t="s">
        <v>0</v>
      </c>
      <c r="J1" s="475" t="s">
        <v>1</v>
      </c>
      <c r="K1" s="475" t="s">
        <v>2</v>
      </c>
      <c r="L1" s="499" t="s">
        <v>3</v>
      </c>
      <c r="M1" s="504"/>
      <c r="N1" s="504"/>
      <c r="O1" s="504"/>
      <c r="P1" s="504"/>
      <c r="Q1" s="500"/>
      <c r="R1" s="505" t="s">
        <v>4</v>
      </c>
      <c r="S1" s="508" t="s">
        <v>5</v>
      </c>
      <c r="T1" s="510" t="s">
        <v>6</v>
      </c>
      <c r="U1" s="508" t="s">
        <v>7</v>
      </c>
      <c r="V1" s="496" t="s">
        <v>8</v>
      </c>
      <c r="W1" s="489" t="s">
        <v>0</v>
      </c>
      <c r="X1" s="527" t="s">
        <v>1</v>
      </c>
      <c r="Y1" s="527" t="s">
        <v>2</v>
      </c>
      <c r="Z1" s="499" t="s">
        <v>3</v>
      </c>
      <c r="AA1" s="504"/>
      <c r="AB1" s="504"/>
      <c r="AC1" s="504"/>
      <c r="AD1" s="504"/>
      <c r="AE1" s="500"/>
      <c r="AF1" s="505" t="s">
        <v>4</v>
      </c>
      <c r="AG1" s="508" t="s">
        <v>5</v>
      </c>
      <c r="AH1" s="510" t="s">
        <v>6</v>
      </c>
      <c r="AI1" s="508" t="s">
        <v>7</v>
      </c>
      <c r="AJ1" s="496" t="s">
        <v>8</v>
      </c>
      <c r="AK1" s="489" t="s">
        <v>0</v>
      </c>
      <c r="AL1" s="527" t="s">
        <v>1</v>
      </c>
      <c r="AM1" s="527" t="s">
        <v>2</v>
      </c>
      <c r="AN1" s="529" t="s">
        <v>3</v>
      </c>
      <c r="AO1" s="529"/>
      <c r="AP1" s="529"/>
      <c r="AQ1" s="529"/>
      <c r="AR1" s="529"/>
      <c r="AS1" s="529"/>
      <c r="AT1" s="534" t="s">
        <v>4</v>
      </c>
      <c r="AU1" s="530" t="s">
        <v>5</v>
      </c>
      <c r="AV1" s="531" t="s">
        <v>6</v>
      </c>
      <c r="AW1" s="530" t="s">
        <v>7</v>
      </c>
      <c r="AX1" s="532" t="s">
        <v>8</v>
      </c>
    </row>
    <row r="2" spans="1:52" ht="28.5" customHeight="1" x14ac:dyDescent="0.25">
      <c r="A2" s="491" t="s">
        <v>9</v>
      </c>
      <c r="B2" s="491" t="s">
        <v>10</v>
      </c>
      <c r="C2" s="492" t="s">
        <v>11</v>
      </c>
      <c r="D2" s="491" t="s">
        <v>12</v>
      </c>
      <c r="E2" s="494" t="s">
        <v>13</v>
      </c>
      <c r="F2" s="476" t="s">
        <v>14</v>
      </c>
      <c r="G2" s="476" t="s">
        <v>15</v>
      </c>
      <c r="H2" s="476" t="s">
        <v>16</v>
      </c>
      <c r="I2" s="490"/>
      <c r="J2" s="475"/>
      <c r="K2" s="475"/>
      <c r="L2" s="499" t="s">
        <v>734</v>
      </c>
      <c r="M2" s="500"/>
      <c r="N2" s="499" t="s">
        <v>735</v>
      </c>
      <c r="O2" s="500"/>
      <c r="P2" s="499" t="s">
        <v>736</v>
      </c>
      <c r="Q2" s="500"/>
      <c r="R2" s="506"/>
      <c r="S2" s="509"/>
      <c r="T2" s="511"/>
      <c r="U2" s="509"/>
      <c r="V2" s="497"/>
      <c r="W2" s="490"/>
      <c r="X2" s="528"/>
      <c r="Y2" s="528"/>
      <c r="Z2" s="499" t="s">
        <v>392</v>
      </c>
      <c r="AA2" s="500"/>
      <c r="AB2" s="499" t="s">
        <v>393</v>
      </c>
      <c r="AC2" s="500"/>
      <c r="AD2" s="499" t="s">
        <v>394</v>
      </c>
      <c r="AE2" s="500"/>
      <c r="AF2" s="506"/>
      <c r="AG2" s="509"/>
      <c r="AH2" s="511"/>
      <c r="AI2" s="509"/>
      <c r="AJ2" s="497"/>
      <c r="AK2" s="490"/>
      <c r="AL2" s="528"/>
      <c r="AM2" s="528"/>
      <c r="AN2" s="529" t="s">
        <v>838</v>
      </c>
      <c r="AO2" s="529"/>
      <c r="AP2" s="529" t="s">
        <v>839</v>
      </c>
      <c r="AQ2" s="529"/>
      <c r="AR2" s="529" t="s">
        <v>840</v>
      </c>
      <c r="AS2" s="529"/>
      <c r="AT2" s="534"/>
      <c r="AU2" s="530"/>
      <c r="AV2" s="531"/>
      <c r="AW2" s="530"/>
      <c r="AX2" s="532"/>
    </row>
    <row r="3" spans="1:52" ht="23.25" customHeight="1" x14ac:dyDescent="0.25">
      <c r="A3" s="491"/>
      <c r="B3" s="491"/>
      <c r="C3" s="493"/>
      <c r="D3" s="491"/>
      <c r="E3" s="495"/>
      <c r="F3" s="477"/>
      <c r="G3" s="477"/>
      <c r="H3" s="477"/>
      <c r="I3" s="478" t="s">
        <v>17</v>
      </c>
      <c r="J3" s="479"/>
      <c r="K3" s="480"/>
      <c r="L3" s="369" t="s">
        <v>18</v>
      </c>
      <c r="M3" s="369" t="s">
        <v>19</v>
      </c>
      <c r="N3" s="369" t="s">
        <v>18</v>
      </c>
      <c r="O3" s="369" t="s">
        <v>19</v>
      </c>
      <c r="P3" s="369" t="s">
        <v>18</v>
      </c>
      <c r="Q3" s="369" t="s">
        <v>19</v>
      </c>
      <c r="R3" s="507"/>
      <c r="S3" s="501" t="s">
        <v>20</v>
      </c>
      <c r="T3" s="502"/>
      <c r="U3" s="503"/>
      <c r="V3" s="498"/>
      <c r="W3" s="478" t="s">
        <v>17</v>
      </c>
      <c r="X3" s="479"/>
      <c r="Y3" s="480"/>
      <c r="Z3" s="369" t="s">
        <v>18</v>
      </c>
      <c r="AA3" s="369" t="s">
        <v>19</v>
      </c>
      <c r="AB3" s="369" t="s">
        <v>18</v>
      </c>
      <c r="AC3" s="369" t="s">
        <v>19</v>
      </c>
      <c r="AD3" s="369" t="s">
        <v>18</v>
      </c>
      <c r="AE3" s="369" t="s">
        <v>19</v>
      </c>
      <c r="AF3" s="507"/>
      <c r="AG3" s="501" t="s">
        <v>20</v>
      </c>
      <c r="AH3" s="502"/>
      <c r="AI3" s="503"/>
      <c r="AJ3" s="498"/>
      <c r="AK3" s="478" t="s">
        <v>17</v>
      </c>
      <c r="AL3" s="479"/>
      <c r="AM3" s="480"/>
      <c r="AN3" s="369" t="s">
        <v>18</v>
      </c>
      <c r="AO3" s="369" t="s">
        <v>19</v>
      </c>
      <c r="AP3" s="369" t="s">
        <v>18</v>
      </c>
      <c r="AQ3" s="369" t="s">
        <v>19</v>
      </c>
      <c r="AR3" s="369" t="s">
        <v>18</v>
      </c>
      <c r="AS3" s="369" t="s">
        <v>19</v>
      </c>
      <c r="AT3" s="534"/>
      <c r="AU3" s="533" t="s">
        <v>20</v>
      </c>
      <c r="AV3" s="533"/>
      <c r="AW3" s="533"/>
      <c r="AX3" s="532"/>
    </row>
    <row r="4" spans="1:52" ht="74.25" customHeight="1" x14ac:dyDescent="0.25">
      <c r="A4" s="512" t="s">
        <v>21</v>
      </c>
      <c r="B4" s="515" t="s">
        <v>22</v>
      </c>
      <c r="C4" s="257" t="str">
        <f>[1]SEGUIMIENTO!C9</f>
        <v>SF-PY1.1</v>
      </c>
      <c r="D4" s="259" t="str">
        <f>[1]SEGUIMIENTO!D9</f>
        <v>Actividades de Inducción y Reinducción con docentes, estudiantes y Administrativos para promover el conocimiento de la Teleología.</v>
      </c>
      <c r="E4" s="257">
        <f>[1]SEGUIMIENTO!E9</f>
        <v>510</v>
      </c>
      <c r="F4" s="374" t="s">
        <v>25</v>
      </c>
      <c r="G4" s="374">
        <v>1150</v>
      </c>
      <c r="H4" s="518" t="s">
        <v>62</v>
      </c>
      <c r="I4" s="5">
        <f>[1]SEGUIMIENTO!I9</f>
        <v>44000000</v>
      </c>
      <c r="J4" s="5">
        <v>13937514</v>
      </c>
      <c r="K4" s="6">
        <f>I4-J4</f>
        <v>30062486</v>
      </c>
      <c r="L4" s="368">
        <v>146</v>
      </c>
      <c r="M4" s="376">
        <f>IFERROR((L4/G4),0)</f>
        <v>0.12695652173913044</v>
      </c>
      <c r="N4" s="368">
        <v>148</v>
      </c>
      <c r="O4" s="376">
        <f>IFERROR((N4/G4),0)</f>
        <v>0.12869565217391304</v>
      </c>
      <c r="P4" s="368">
        <v>0</v>
      </c>
      <c r="Q4" s="376">
        <f>IFERROR((P4/G4),0)</f>
        <v>0</v>
      </c>
      <c r="R4" s="375">
        <f>SUM(M4,O4,Q4)</f>
        <v>0.25565217391304351</v>
      </c>
      <c r="S4" s="372">
        <f>IFERROR((J4/I4),0)</f>
        <v>0.31676168181818182</v>
      </c>
      <c r="T4" s="390">
        <f>R4</f>
        <v>0.25565217391304351</v>
      </c>
      <c r="U4" s="372">
        <f>(S4+T4)/2</f>
        <v>0.28620692786561264</v>
      </c>
      <c r="V4" s="8" t="s">
        <v>434</v>
      </c>
      <c r="W4" s="5">
        <v>44000000</v>
      </c>
      <c r="X4" s="5">
        <v>43837588</v>
      </c>
      <c r="Y4" s="6">
        <f>W4-X4</f>
        <v>162412</v>
      </c>
      <c r="Z4" s="368">
        <v>150</v>
      </c>
      <c r="AA4" s="96">
        <f>IFERROR((Z4/G4),0)</f>
        <v>0.13043478260869565</v>
      </c>
      <c r="AB4" s="368">
        <v>150</v>
      </c>
      <c r="AC4" s="96">
        <f>IFERROR((AB4/G4),0)</f>
        <v>0.13043478260869565</v>
      </c>
      <c r="AD4" s="368">
        <v>0</v>
      </c>
      <c r="AE4" s="96">
        <f>IFERROR((AD4/G4),0)</f>
        <v>0</v>
      </c>
      <c r="AF4" s="375">
        <f>SUM(AA4,AC4,AE4)</f>
        <v>0.2608695652173913</v>
      </c>
      <c r="AG4" s="372">
        <f>IFERROR((X4/W4),0)</f>
        <v>0.99630881818181816</v>
      </c>
      <c r="AH4" s="372">
        <f t="shared" ref="AH4:AH9" si="0">R4+AF4</f>
        <v>0.51652173913043486</v>
      </c>
      <c r="AI4" s="372">
        <f t="shared" ref="AI4:AI26" si="1">(AG4+AH4)/2</f>
        <v>0.75641527865612646</v>
      </c>
      <c r="AJ4" s="8" t="s">
        <v>434</v>
      </c>
      <c r="AK4" s="5">
        <v>44000000</v>
      </c>
      <c r="AL4" s="5">
        <v>43837588</v>
      </c>
      <c r="AM4" s="6">
        <f>AK4-AL4</f>
        <v>162412</v>
      </c>
      <c r="AN4" s="368">
        <v>0</v>
      </c>
      <c r="AO4" s="376">
        <f t="shared" ref="AO4:AO26" si="2">IFERROR((AN4/G4),0)</f>
        <v>0</v>
      </c>
      <c r="AP4" s="368">
        <v>145</v>
      </c>
      <c r="AQ4" s="376">
        <f t="shared" ref="AQ4:AQ26" si="3">IFERROR((AP4/G4),0)</f>
        <v>0.12608695652173912</v>
      </c>
      <c r="AR4" s="368">
        <v>146</v>
      </c>
      <c r="AS4" s="376">
        <f t="shared" ref="AS4:AS26" si="4">IFERROR((AR4/G4),0)</f>
        <v>0.12695652173913044</v>
      </c>
      <c r="AT4" s="375">
        <f>SUM(AO4,AQ4,AS4)</f>
        <v>0.25304347826086959</v>
      </c>
      <c r="AU4" s="372">
        <f t="shared" ref="AU4:AU26" si="5">IFERROR((AL4/AK4),0)</f>
        <v>0.99630881818181816</v>
      </c>
      <c r="AV4" s="372">
        <f t="shared" ref="AV4:AV26" si="6">R4+AF4+AT4</f>
        <v>0.76956521739130446</v>
      </c>
      <c r="AW4" s="372">
        <f t="shared" ref="AW4:AW26" si="7">(AU4+AV4)/2</f>
        <v>0.88293701778656131</v>
      </c>
      <c r="AX4" s="8" t="s">
        <v>863</v>
      </c>
    </row>
    <row r="5" spans="1:52" ht="52.5" customHeight="1" x14ac:dyDescent="0.25">
      <c r="A5" s="513"/>
      <c r="B5" s="516"/>
      <c r="C5" s="257" t="str">
        <f>[1]SEGUIMIENTO!C10</f>
        <v>SF-PY1.2</v>
      </c>
      <c r="D5" s="259" t="str">
        <f>[1]SEGUIMIENTO!D10</f>
        <v>Actividades para promover la Apropiación de la teleología Institucional. (Misión, La Visión, el Proyecto Educativo Institucional PEU).</v>
      </c>
      <c r="E5" s="257">
        <f>[1]SEGUIMIENTO!E10</f>
        <v>510</v>
      </c>
      <c r="F5" s="374" t="s">
        <v>28</v>
      </c>
      <c r="G5" s="374">
        <v>1150</v>
      </c>
      <c r="H5" s="519"/>
      <c r="I5" s="5">
        <f>[1]SEGUIMIENTO!I10</f>
        <v>53854378</v>
      </c>
      <c r="J5" s="5">
        <v>12429332</v>
      </c>
      <c r="K5" s="6">
        <f t="shared" ref="K5:K25" si="8">I5-J5</f>
        <v>41425046</v>
      </c>
      <c r="L5" s="388">
        <v>146</v>
      </c>
      <c r="M5" s="376">
        <f t="shared" ref="M5:M25" si="9">IFERROR((L5/G5),0)</f>
        <v>0.12695652173913044</v>
      </c>
      <c r="N5" s="388">
        <v>148</v>
      </c>
      <c r="O5" s="376">
        <f t="shared" ref="O5:O25" si="10">IFERROR((N5/G5),0)</f>
        <v>0.12869565217391304</v>
      </c>
      <c r="P5" s="388">
        <v>0</v>
      </c>
      <c r="Q5" s="376">
        <f t="shared" ref="Q5:Q25" si="11">IFERROR((P5/G5),0)</f>
        <v>0</v>
      </c>
      <c r="R5" s="375">
        <f>SUM(M5,O5,Q5)</f>
        <v>0.25565217391304351</v>
      </c>
      <c r="S5" s="389">
        <f t="shared" ref="S5:S21" si="12">IFERROR((J5/I5),0)</f>
        <v>0.23079520108838691</v>
      </c>
      <c r="T5" s="390">
        <f t="shared" ref="T5:T26" si="13">R5</f>
        <v>0.25565217391304351</v>
      </c>
      <c r="U5" s="372">
        <f t="shared" ref="U5:U26" si="14">(S5+T5)/2</f>
        <v>0.24322368750071521</v>
      </c>
      <c r="V5" s="8" t="s">
        <v>435</v>
      </c>
      <c r="W5" s="5">
        <v>58854378</v>
      </c>
      <c r="X5" s="5">
        <v>54854378</v>
      </c>
      <c r="Y5" s="6">
        <f t="shared" ref="Y5:Y25" si="15">W5-X5</f>
        <v>4000000</v>
      </c>
      <c r="Z5" s="368">
        <v>150</v>
      </c>
      <c r="AA5" s="96">
        <f>IFERROR((Z5/G5),0)</f>
        <v>0.13043478260869565</v>
      </c>
      <c r="AB5" s="368">
        <v>150</v>
      </c>
      <c r="AC5" s="96">
        <f t="shared" ref="AC5:AC25" si="16">IFERROR((AB5/G5),0)</f>
        <v>0.13043478260869565</v>
      </c>
      <c r="AD5" s="368">
        <v>0</v>
      </c>
      <c r="AE5" s="96">
        <f t="shared" ref="AE5:AE25" si="17">IFERROR((AD5/G5),0)</f>
        <v>0</v>
      </c>
      <c r="AF5" s="375">
        <f t="shared" ref="AF5:AF26" si="18">SUM(AA5,AC5,AE5)</f>
        <v>0.2608695652173913</v>
      </c>
      <c r="AG5" s="372">
        <f t="shared" ref="AG5:AG26" si="19">IFERROR((X5/W5),0)</f>
        <v>0.93203564227626368</v>
      </c>
      <c r="AH5" s="389">
        <f t="shared" si="0"/>
        <v>0.51652173913043486</v>
      </c>
      <c r="AI5" s="372">
        <f t="shared" si="1"/>
        <v>0.72427869070334927</v>
      </c>
      <c r="AJ5" s="8" t="s">
        <v>435</v>
      </c>
      <c r="AK5" s="5">
        <v>58854378</v>
      </c>
      <c r="AL5" s="5">
        <v>54854378</v>
      </c>
      <c r="AM5" s="6">
        <f t="shared" ref="AM5:AM25" si="20">AK5-AL5</f>
        <v>4000000</v>
      </c>
      <c r="AN5" s="368">
        <v>0</v>
      </c>
      <c r="AO5" s="376">
        <f t="shared" si="2"/>
        <v>0</v>
      </c>
      <c r="AP5" s="388">
        <v>145</v>
      </c>
      <c r="AQ5" s="376">
        <f t="shared" si="3"/>
        <v>0.12608695652173912</v>
      </c>
      <c r="AR5" s="388">
        <v>146</v>
      </c>
      <c r="AS5" s="376">
        <f t="shared" si="4"/>
        <v>0.12695652173913044</v>
      </c>
      <c r="AT5" s="375">
        <f>SUM(AO5,AQ5,AS5)</f>
        <v>0.25304347826086959</v>
      </c>
      <c r="AU5" s="372">
        <f t="shared" si="5"/>
        <v>0.93203564227626368</v>
      </c>
      <c r="AV5" s="389">
        <f t="shared" si="6"/>
        <v>0.76956521739130446</v>
      </c>
      <c r="AW5" s="372">
        <f t="shared" si="7"/>
        <v>0.85080042983378412</v>
      </c>
      <c r="AX5" s="8" t="s">
        <v>864</v>
      </c>
    </row>
    <row r="6" spans="1:52" ht="76.5" customHeight="1" x14ac:dyDescent="0.25">
      <c r="A6" s="513"/>
      <c r="B6" s="517"/>
      <c r="C6" s="257" t="str">
        <f>[1]SEGUIMIENTO!C11</f>
        <v>SF-PY1.3</v>
      </c>
      <c r="D6" s="259" t="str">
        <f>[1]SEGUIMIENTO!D11</f>
        <v>Promoción de la imagen corporativa institucional, portafolio de servicios-oferta académica.</v>
      </c>
      <c r="E6" s="257">
        <f>[1]SEGUIMIENTO!E11</f>
        <v>510</v>
      </c>
      <c r="F6" s="374" t="s">
        <v>31</v>
      </c>
      <c r="G6" s="374">
        <v>1150</v>
      </c>
      <c r="H6" s="520"/>
      <c r="I6" s="5">
        <f>[1]SEGUIMIENTO!I11</f>
        <v>29594219</v>
      </c>
      <c r="J6" s="5">
        <v>0</v>
      </c>
      <c r="K6" s="6">
        <f t="shared" si="8"/>
        <v>29594219</v>
      </c>
      <c r="L6" s="388">
        <v>146</v>
      </c>
      <c r="M6" s="96">
        <f t="shared" si="9"/>
        <v>0.12695652173913044</v>
      </c>
      <c r="N6" s="388">
        <v>148</v>
      </c>
      <c r="O6" s="96">
        <f t="shared" si="10"/>
        <v>0.12869565217391304</v>
      </c>
      <c r="P6" s="388">
        <v>0</v>
      </c>
      <c r="Q6" s="96">
        <f t="shared" si="11"/>
        <v>0</v>
      </c>
      <c r="R6" s="375">
        <f t="shared" ref="R6:R25" si="21">SUM(M6,O6,Q6)</f>
        <v>0.25565217391304351</v>
      </c>
      <c r="S6" s="389">
        <f t="shared" si="12"/>
        <v>0</v>
      </c>
      <c r="T6" s="390">
        <f t="shared" si="13"/>
        <v>0.25565217391304351</v>
      </c>
      <c r="U6" s="372">
        <f>(S6+T6)/2</f>
        <v>0.12782608695652176</v>
      </c>
      <c r="V6" s="8" t="s">
        <v>432</v>
      </c>
      <c r="W6" s="5">
        <v>31594219</v>
      </c>
      <c r="X6" s="5">
        <v>17594219</v>
      </c>
      <c r="Y6" s="6">
        <f t="shared" si="15"/>
        <v>14000000</v>
      </c>
      <c r="Z6" s="368">
        <v>143</v>
      </c>
      <c r="AA6" s="96">
        <f t="shared" ref="AA6:AA25" si="22">IFERROR((Z6/G6),0)</f>
        <v>0.12434782608695652</v>
      </c>
      <c r="AB6" s="368">
        <v>142</v>
      </c>
      <c r="AC6" s="96">
        <f t="shared" si="16"/>
        <v>0.12347826086956522</v>
      </c>
      <c r="AD6" s="368">
        <v>0</v>
      </c>
      <c r="AE6" s="96">
        <f t="shared" si="17"/>
        <v>0</v>
      </c>
      <c r="AF6" s="375">
        <f t="shared" si="18"/>
        <v>0.24782608695652175</v>
      </c>
      <c r="AG6" s="372">
        <f t="shared" si="19"/>
        <v>0.55688095977305219</v>
      </c>
      <c r="AH6" s="389">
        <f t="shared" si="0"/>
        <v>0.50347826086956526</v>
      </c>
      <c r="AI6" s="372">
        <f t="shared" si="1"/>
        <v>0.53017961032130878</v>
      </c>
      <c r="AJ6" s="8" t="s">
        <v>432</v>
      </c>
      <c r="AK6" s="5">
        <v>31594219</v>
      </c>
      <c r="AL6" s="5">
        <v>17594219</v>
      </c>
      <c r="AM6" s="6">
        <f t="shared" si="20"/>
        <v>14000000</v>
      </c>
      <c r="AN6" s="368">
        <v>0</v>
      </c>
      <c r="AO6" s="376">
        <f t="shared" si="2"/>
        <v>0</v>
      </c>
      <c r="AP6" s="388">
        <v>145</v>
      </c>
      <c r="AQ6" s="376">
        <f t="shared" si="3"/>
        <v>0.12608695652173912</v>
      </c>
      <c r="AR6" s="388">
        <v>146</v>
      </c>
      <c r="AS6" s="376">
        <f t="shared" si="4"/>
        <v>0.12695652173913044</v>
      </c>
      <c r="AT6" s="375">
        <f t="shared" ref="AT6:AT13" si="23">SUM(AO6,AQ6,AS6)</f>
        <v>0.25304347826086959</v>
      </c>
      <c r="AU6" s="372">
        <f t="shared" si="5"/>
        <v>0.55688095977305219</v>
      </c>
      <c r="AV6" s="389">
        <f t="shared" si="6"/>
        <v>0.75652173913043486</v>
      </c>
      <c r="AW6" s="372">
        <f t="shared" si="7"/>
        <v>0.65670134945174352</v>
      </c>
      <c r="AX6" s="8" t="s">
        <v>862</v>
      </c>
    </row>
    <row r="7" spans="1:52" ht="62.25" customHeight="1" x14ac:dyDescent="0.25">
      <c r="A7" s="513"/>
      <c r="B7" s="9" t="s">
        <v>32</v>
      </c>
      <c r="C7" s="257" t="str">
        <f>[1]Asignación!A6</f>
        <v>SF-PY2.1</v>
      </c>
      <c r="D7" s="259" t="str">
        <f>[1]Asignación!B6</f>
        <v>Apoyo a la realización de estudios y diseños para la creación de programas de pregrado y postgrados.</v>
      </c>
      <c r="E7" s="260">
        <f>[1]Asignación!C6</f>
        <v>510</v>
      </c>
      <c r="F7" s="374" t="s">
        <v>35</v>
      </c>
      <c r="G7" s="374">
        <v>3</v>
      </c>
      <c r="H7" s="374" t="s">
        <v>54</v>
      </c>
      <c r="I7" s="5">
        <f>[1]SEGUIMIENTO!I12</f>
        <v>36000000</v>
      </c>
      <c r="J7" s="5">
        <v>714038</v>
      </c>
      <c r="K7" s="6">
        <f t="shared" si="8"/>
        <v>35285962</v>
      </c>
      <c r="L7" s="368">
        <v>0</v>
      </c>
      <c r="M7" s="96">
        <f t="shared" si="9"/>
        <v>0</v>
      </c>
      <c r="N7" s="368">
        <v>0</v>
      </c>
      <c r="O7" s="96">
        <f t="shared" si="10"/>
        <v>0</v>
      </c>
      <c r="P7" s="368">
        <v>0.75</v>
      </c>
      <c r="Q7" s="96">
        <f t="shared" si="11"/>
        <v>0.25</v>
      </c>
      <c r="R7" s="375">
        <f t="shared" si="21"/>
        <v>0.25</v>
      </c>
      <c r="S7" s="389">
        <f t="shared" si="12"/>
        <v>1.9834388888888888E-2</v>
      </c>
      <c r="T7" s="390">
        <f t="shared" si="13"/>
        <v>0.25</v>
      </c>
      <c r="U7" s="372">
        <f t="shared" si="14"/>
        <v>0.13491719444444444</v>
      </c>
      <c r="V7" s="8" t="s">
        <v>433</v>
      </c>
      <c r="W7" s="5">
        <v>39000000</v>
      </c>
      <c r="X7" s="5">
        <v>8073474</v>
      </c>
      <c r="Y7" s="6">
        <f t="shared" si="15"/>
        <v>30926526</v>
      </c>
      <c r="Z7" s="368">
        <v>0</v>
      </c>
      <c r="AA7" s="96">
        <f t="shared" si="22"/>
        <v>0</v>
      </c>
      <c r="AB7" s="368">
        <v>0</v>
      </c>
      <c r="AC7" s="96">
        <f t="shared" si="16"/>
        <v>0</v>
      </c>
      <c r="AD7" s="368">
        <v>1.26</v>
      </c>
      <c r="AE7" s="96">
        <f t="shared" si="17"/>
        <v>0.42</v>
      </c>
      <c r="AF7" s="375">
        <f t="shared" si="18"/>
        <v>0.42</v>
      </c>
      <c r="AG7" s="372">
        <f t="shared" si="19"/>
        <v>0.20701215384615385</v>
      </c>
      <c r="AH7" s="389">
        <f t="shared" si="0"/>
        <v>0.66999999999999993</v>
      </c>
      <c r="AI7" s="372">
        <f t="shared" si="1"/>
        <v>0.43850607692307686</v>
      </c>
      <c r="AJ7" s="8" t="s">
        <v>433</v>
      </c>
      <c r="AK7" s="5">
        <v>39000000</v>
      </c>
      <c r="AL7" s="5">
        <v>20691213</v>
      </c>
      <c r="AM7" s="6">
        <f t="shared" si="20"/>
        <v>18308787</v>
      </c>
      <c r="AN7" s="368">
        <v>0</v>
      </c>
      <c r="AO7" s="376">
        <f t="shared" si="2"/>
        <v>0</v>
      </c>
      <c r="AP7" s="368">
        <v>0</v>
      </c>
      <c r="AQ7" s="376">
        <f t="shared" si="3"/>
        <v>0</v>
      </c>
      <c r="AR7" s="368">
        <v>0.69</v>
      </c>
      <c r="AS7" s="376">
        <f t="shared" si="4"/>
        <v>0.22999999999999998</v>
      </c>
      <c r="AT7" s="375">
        <f>SUM(AO7,AQ7,AS7)</f>
        <v>0.22999999999999998</v>
      </c>
      <c r="AU7" s="372">
        <f t="shared" si="5"/>
        <v>0.53054392307692311</v>
      </c>
      <c r="AV7" s="389">
        <f t="shared" si="6"/>
        <v>0.89999999999999991</v>
      </c>
      <c r="AW7" s="372">
        <f t="shared" si="7"/>
        <v>0.71527196153846151</v>
      </c>
      <c r="AX7" s="8" t="s">
        <v>865</v>
      </c>
    </row>
    <row r="8" spans="1:52" ht="63.75" customHeight="1" x14ac:dyDescent="0.25">
      <c r="A8" s="513"/>
      <c r="B8" s="521" t="s">
        <v>36</v>
      </c>
      <c r="C8" s="257" t="str">
        <f>[1]Asignación!A7</f>
        <v>SF-PY3.1</v>
      </c>
      <c r="D8" s="259" t="str">
        <f>[1]Asignación!B7</f>
        <v xml:space="preserve"> Escuela de Formación Pedagógica
(formación y acompañamiento en  Pedagogía, alcance y materialización del PEU y  labor de consejerías) Graduación y Permanencia.</v>
      </c>
      <c r="E8" s="260">
        <f>[1]Asignación!C7</f>
        <v>310</v>
      </c>
      <c r="F8" s="374" t="s">
        <v>31</v>
      </c>
      <c r="G8" s="374">
        <v>40</v>
      </c>
      <c r="H8" s="374" t="s">
        <v>39</v>
      </c>
      <c r="I8" s="5">
        <f>[1]SEGUIMIENTO!I13</f>
        <v>178290131</v>
      </c>
      <c r="J8" s="5">
        <v>41080981</v>
      </c>
      <c r="K8" s="6">
        <f t="shared" si="8"/>
        <v>137209150</v>
      </c>
      <c r="L8" s="368">
        <v>4</v>
      </c>
      <c r="M8" s="96">
        <f t="shared" si="9"/>
        <v>0.1</v>
      </c>
      <c r="N8" s="368">
        <v>2</v>
      </c>
      <c r="O8" s="96">
        <f t="shared" si="10"/>
        <v>0.05</v>
      </c>
      <c r="P8" s="368">
        <v>4.2</v>
      </c>
      <c r="Q8" s="96">
        <f t="shared" si="11"/>
        <v>0.10500000000000001</v>
      </c>
      <c r="R8" s="375">
        <f t="shared" si="21"/>
        <v>0.255</v>
      </c>
      <c r="S8" s="389">
        <f t="shared" si="12"/>
        <v>0.23041646090887666</v>
      </c>
      <c r="T8" s="390">
        <f t="shared" si="13"/>
        <v>0.255</v>
      </c>
      <c r="U8" s="372">
        <f t="shared" si="14"/>
        <v>0.24270823045443835</v>
      </c>
      <c r="V8" s="8" t="s">
        <v>436</v>
      </c>
      <c r="W8" s="5">
        <v>178290131</v>
      </c>
      <c r="X8" s="5">
        <v>178290131</v>
      </c>
      <c r="Y8" s="6">
        <f t="shared" si="15"/>
        <v>0</v>
      </c>
      <c r="Z8" s="368">
        <v>4</v>
      </c>
      <c r="AA8" s="96">
        <f t="shared" si="22"/>
        <v>0.1</v>
      </c>
      <c r="AB8" s="368">
        <v>2.5</v>
      </c>
      <c r="AC8" s="96">
        <f t="shared" si="16"/>
        <v>6.25E-2</v>
      </c>
      <c r="AD8" s="368">
        <v>4</v>
      </c>
      <c r="AE8" s="96">
        <f t="shared" si="17"/>
        <v>0.1</v>
      </c>
      <c r="AF8" s="375">
        <f t="shared" si="18"/>
        <v>0.26250000000000001</v>
      </c>
      <c r="AG8" s="372">
        <f t="shared" si="19"/>
        <v>1</v>
      </c>
      <c r="AH8" s="389">
        <f t="shared" si="0"/>
        <v>0.51750000000000007</v>
      </c>
      <c r="AI8" s="372">
        <f t="shared" si="1"/>
        <v>0.75875000000000004</v>
      </c>
      <c r="AJ8" s="8" t="s">
        <v>436</v>
      </c>
      <c r="AK8" s="5">
        <v>178290131</v>
      </c>
      <c r="AL8" s="5">
        <v>178290131</v>
      </c>
      <c r="AM8" s="6">
        <f t="shared" si="20"/>
        <v>0</v>
      </c>
      <c r="AN8" s="368">
        <v>4</v>
      </c>
      <c r="AO8" s="376">
        <f t="shared" si="2"/>
        <v>0.1</v>
      </c>
      <c r="AP8" s="368">
        <v>2</v>
      </c>
      <c r="AQ8" s="376">
        <f t="shared" si="3"/>
        <v>0.05</v>
      </c>
      <c r="AR8" s="368">
        <v>4</v>
      </c>
      <c r="AS8" s="376">
        <f t="shared" si="4"/>
        <v>0.1</v>
      </c>
      <c r="AT8" s="375">
        <f t="shared" si="23"/>
        <v>0.25</v>
      </c>
      <c r="AU8" s="372">
        <f t="shared" si="5"/>
        <v>1</v>
      </c>
      <c r="AV8" s="389">
        <f t="shared" si="6"/>
        <v>0.76750000000000007</v>
      </c>
      <c r="AW8" s="372">
        <f t="shared" si="7"/>
        <v>0.88375000000000004</v>
      </c>
      <c r="AX8" s="8" t="s">
        <v>866</v>
      </c>
    </row>
    <row r="9" spans="1:52" ht="69.75" customHeight="1" x14ac:dyDescent="0.25">
      <c r="A9" s="513"/>
      <c r="B9" s="522"/>
      <c r="C9" s="257" t="str">
        <f>[1]Asignación!A8</f>
        <v>SF-PY3.2</v>
      </c>
      <c r="D9" s="259" t="str">
        <f>[1]Asignación!B8</f>
        <v>Capacitación Individual Docente.</v>
      </c>
      <c r="E9" s="260">
        <f>[1]Asignación!C8</f>
        <v>310</v>
      </c>
      <c r="F9" s="374" t="s">
        <v>42</v>
      </c>
      <c r="G9" s="374">
        <v>7</v>
      </c>
      <c r="H9" s="374" t="s">
        <v>39</v>
      </c>
      <c r="I9" s="5">
        <f>[1]SEGUIMIENTO!I14</f>
        <v>359000000</v>
      </c>
      <c r="J9" s="5">
        <v>36997129</v>
      </c>
      <c r="K9" s="6">
        <f t="shared" si="8"/>
        <v>322002871</v>
      </c>
      <c r="L9" s="368">
        <v>1</v>
      </c>
      <c r="M9" s="96">
        <f t="shared" si="9"/>
        <v>0.14285714285714285</v>
      </c>
      <c r="N9" s="368">
        <v>0.82</v>
      </c>
      <c r="O9" s="96">
        <f t="shared" si="10"/>
        <v>0.11714285714285713</v>
      </c>
      <c r="P9" s="368">
        <v>0</v>
      </c>
      <c r="Q9" s="96">
        <f t="shared" si="11"/>
        <v>0</v>
      </c>
      <c r="R9" s="375">
        <f t="shared" si="21"/>
        <v>0.26</v>
      </c>
      <c r="S9" s="389">
        <f t="shared" si="12"/>
        <v>0.10305606963788301</v>
      </c>
      <c r="T9" s="390">
        <f t="shared" si="13"/>
        <v>0.26</v>
      </c>
      <c r="U9" s="372">
        <f t="shared" si="14"/>
        <v>0.1815280348189415</v>
      </c>
      <c r="V9" s="8" t="s">
        <v>437</v>
      </c>
      <c r="W9" s="5">
        <v>380000000</v>
      </c>
      <c r="X9" s="5">
        <v>122618195</v>
      </c>
      <c r="Y9" s="6">
        <f t="shared" si="15"/>
        <v>257381805</v>
      </c>
      <c r="Z9" s="368">
        <v>0</v>
      </c>
      <c r="AA9" s="96">
        <f t="shared" si="22"/>
        <v>0</v>
      </c>
      <c r="AB9" s="368">
        <v>1</v>
      </c>
      <c r="AC9" s="96">
        <f t="shared" si="16"/>
        <v>0.14285714285714285</v>
      </c>
      <c r="AD9" s="368">
        <v>0.8</v>
      </c>
      <c r="AE9" s="96">
        <f t="shared" si="17"/>
        <v>0.1142857142857143</v>
      </c>
      <c r="AF9" s="375">
        <f t="shared" si="18"/>
        <v>0.25714285714285712</v>
      </c>
      <c r="AG9" s="372">
        <f t="shared" si="19"/>
        <v>0.3226794605263158</v>
      </c>
      <c r="AH9" s="389">
        <f t="shared" si="0"/>
        <v>0.51714285714285713</v>
      </c>
      <c r="AI9" s="372">
        <f t="shared" si="1"/>
        <v>0.41991115883458646</v>
      </c>
      <c r="AJ9" s="8" t="s">
        <v>437</v>
      </c>
      <c r="AK9" s="5">
        <v>380000000</v>
      </c>
      <c r="AL9" s="5">
        <v>228470341</v>
      </c>
      <c r="AM9" s="6">
        <f t="shared" si="20"/>
        <v>151529659</v>
      </c>
      <c r="AN9" s="368">
        <v>0</v>
      </c>
      <c r="AO9" s="376">
        <f t="shared" si="2"/>
        <v>0</v>
      </c>
      <c r="AP9" s="368">
        <v>1</v>
      </c>
      <c r="AQ9" s="376">
        <f t="shared" si="3"/>
        <v>0.14285714285714285</v>
      </c>
      <c r="AR9" s="368">
        <v>0.8</v>
      </c>
      <c r="AS9" s="376">
        <f t="shared" si="4"/>
        <v>0.1142857142857143</v>
      </c>
      <c r="AT9" s="375">
        <f t="shared" si="23"/>
        <v>0.25714285714285712</v>
      </c>
      <c r="AU9" s="372">
        <f t="shared" si="5"/>
        <v>0.6012377394736842</v>
      </c>
      <c r="AV9" s="389">
        <f t="shared" si="6"/>
        <v>0.77428571428571424</v>
      </c>
      <c r="AW9" s="372">
        <f t="shared" si="7"/>
        <v>0.68776172687969916</v>
      </c>
      <c r="AX9" s="8" t="s">
        <v>855</v>
      </c>
    </row>
    <row r="10" spans="1:52" ht="44.25" customHeight="1" x14ac:dyDescent="0.25">
      <c r="A10" s="513"/>
      <c r="B10" s="522"/>
      <c r="C10" s="257" t="str">
        <f>[1]Asignación!A9</f>
        <v>SF-PY3.3</v>
      </c>
      <c r="D10" s="259" t="str">
        <f>[1]Asignación!B9</f>
        <v xml:space="preserve"> Interlingua para Docentes.</v>
      </c>
      <c r="E10" s="260">
        <f>[1]Asignación!C9</f>
        <v>310</v>
      </c>
      <c r="F10" s="374" t="s">
        <v>31</v>
      </c>
      <c r="G10" s="374">
        <v>19</v>
      </c>
      <c r="H10" s="374" t="s">
        <v>39</v>
      </c>
      <c r="I10" s="5">
        <f>[1]SEGUIMIENTO!I15</f>
        <v>30000000</v>
      </c>
      <c r="J10" s="5">
        <v>0</v>
      </c>
      <c r="K10" s="6">
        <f t="shared" si="8"/>
        <v>30000000</v>
      </c>
      <c r="L10" s="368">
        <v>2</v>
      </c>
      <c r="M10" s="96">
        <f t="shared" si="9"/>
        <v>0.10526315789473684</v>
      </c>
      <c r="N10" s="368">
        <v>2</v>
      </c>
      <c r="O10" s="96">
        <f t="shared" si="10"/>
        <v>0.10526315789473684</v>
      </c>
      <c r="P10" s="368">
        <v>0.94</v>
      </c>
      <c r="Q10" s="96">
        <f t="shared" si="11"/>
        <v>4.9473684210526316E-2</v>
      </c>
      <c r="R10" s="375">
        <f t="shared" si="21"/>
        <v>0.26</v>
      </c>
      <c r="S10" s="389">
        <f t="shared" si="12"/>
        <v>0</v>
      </c>
      <c r="T10" s="390">
        <f t="shared" si="13"/>
        <v>0.26</v>
      </c>
      <c r="U10" s="372">
        <f t="shared" si="14"/>
        <v>0.13</v>
      </c>
      <c r="V10" s="8" t="s">
        <v>438</v>
      </c>
      <c r="W10" s="5">
        <v>30000000</v>
      </c>
      <c r="X10" s="5">
        <v>30000000</v>
      </c>
      <c r="Y10" s="6">
        <f t="shared" si="15"/>
        <v>0</v>
      </c>
      <c r="Z10" s="368">
        <v>2</v>
      </c>
      <c r="AA10" s="96">
        <f t="shared" si="22"/>
        <v>0.10526315789473684</v>
      </c>
      <c r="AB10" s="368">
        <v>2</v>
      </c>
      <c r="AC10" s="96">
        <f t="shared" si="16"/>
        <v>0.10526315789473684</v>
      </c>
      <c r="AD10" s="368">
        <v>0.75</v>
      </c>
      <c r="AE10" s="96">
        <f t="shared" si="17"/>
        <v>3.9473684210526314E-2</v>
      </c>
      <c r="AF10" s="375">
        <f t="shared" si="18"/>
        <v>0.25</v>
      </c>
      <c r="AG10" s="372">
        <f t="shared" si="19"/>
        <v>1</v>
      </c>
      <c r="AH10" s="389">
        <f t="shared" ref="AH10:AH26" si="24">R10+AF10</f>
        <v>0.51</v>
      </c>
      <c r="AI10" s="372">
        <f t="shared" si="1"/>
        <v>0.755</v>
      </c>
      <c r="AJ10" s="8" t="s">
        <v>438</v>
      </c>
      <c r="AK10" s="5">
        <v>30000000</v>
      </c>
      <c r="AL10" s="5">
        <v>30000000</v>
      </c>
      <c r="AM10" s="6">
        <f t="shared" si="20"/>
        <v>0</v>
      </c>
      <c r="AN10" s="368">
        <v>2</v>
      </c>
      <c r="AO10" s="376">
        <f t="shared" si="2"/>
        <v>0.10526315789473684</v>
      </c>
      <c r="AP10" s="368">
        <v>2</v>
      </c>
      <c r="AQ10" s="376">
        <f t="shared" si="3"/>
        <v>0.10526315789473684</v>
      </c>
      <c r="AR10" s="368">
        <v>0.75</v>
      </c>
      <c r="AS10" s="376">
        <f t="shared" si="4"/>
        <v>3.9473684210526314E-2</v>
      </c>
      <c r="AT10" s="375">
        <f t="shared" si="23"/>
        <v>0.25</v>
      </c>
      <c r="AU10" s="372">
        <f t="shared" si="5"/>
        <v>1</v>
      </c>
      <c r="AV10" s="389">
        <f t="shared" si="6"/>
        <v>0.76</v>
      </c>
      <c r="AW10" s="372">
        <f t="shared" si="7"/>
        <v>0.88</v>
      </c>
      <c r="AX10" s="8" t="s">
        <v>867</v>
      </c>
    </row>
    <row r="11" spans="1:52" ht="41.25" customHeight="1" x14ac:dyDescent="0.25">
      <c r="A11" s="513"/>
      <c r="B11" s="522"/>
      <c r="C11" s="257" t="str">
        <f>[1]Asignación!A10</f>
        <v>SF-PY3.4</v>
      </c>
      <c r="D11" s="259" t="str">
        <f>[1]Asignación!B10</f>
        <v>Oferta de Cursos Intersemestrales sobre áreas de conocimiento y culturas latinoaméricanas,  formación para la democracia.</v>
      </c>
      <c r="E11" s="260">
        <f>[1]Asignación!C10</f>
        <v>310</v>
      </c>
      <c r="F11" s="374" t="s">
        <v>31</v>
      </c>
      <c r="G11" s="374">
        <v>7</v>
      </c>
      <c r="H11" s="374" t="s">
        <v>47</v>
      </c>
      <c r="I11" s="5">
        <f>[1]SEGUIMIENTO!I16</f>
        <v>23240492</v>
      </c>
      <c r="J11" s="5">
        <v>0</v>
      </c>
      <c r="K11" s="6">
        <f t="shared" si="8"/>
        <v>23240492</v>
      </c>
      <c r="L11" s="368">
        <v>1</v>
      </c>
      <c r="M11" s="96">
        <f t="shared" si="9"/>
        <v>0.14285714285714285</v>
      </c>
      <c r="N11" s="388">
        <v>0.82</v>
      </c>
      <c r="O11" s="96">
        <f t="shared" si="10"/>
        <v>0.11714285714285713</v>
      </c>
      <c r="P11" s="368">
        <v>0</v>
      </c>
      <c r="Q11" s="96">
        <f t="shared" si="11"/>
        <v>0</v>
      </c>
      <c r="R11" s="375">
        <f t="shared" si="21"/>
        <v>0.26</v>
      </c>
      <c r="S11" s="389">
        <f t="shared" si="12"/>
        <v>0</v>
      </c>
      <c r="T11" s="390">
        <f t="shared" si="13"/>
        <v>0.26</v>
      </c>
      <c r="U11" s="372">
        <f t="shared" si="14"/>
        <v>0.13</v>
      </c>
      <c r="V11" s="8" t="s">
        <v>854</v>
      </c>
      <c r="W11" s="5">
        <v>23240492</v>
      </c>
      <c r="X11" s="5">
        <v>23240492</v>
      </c>
      <c r="Y11" s="6">
        <f t="shared" si="15"/>
        <v>0</v>
      </c>
      <c r="Z11" s="368">
        <v>0</v>
      </c>
      <c r="AA11" s="96">
        <f t="shared" si="22"/>
        <v>0</v>
      </c>
      <c r="AB11" s="368">
        <v>0.8</v>
      </c>
      <c r="AC11" s="96">
        <f t="shared" si="16"/>
        <v>0.1142857142857143</v>
      </c>
      <c r="AD11" s="368">
        <v>1</v>
      </c>
      <c r="AE11" s="96">
        <f t="shared" si="17"/>
        <v>0.14285714285714285</v>
      </c>
      <c r="AF11" s="375">
        <f t="shared" si="18"/>
        <v>0.25714285714285712</v>
      </c>
      <c r="AG11" s="372">
        <f t="shared" si="19"/>
        <v>1</v>
      </c>
      <c r="AH11" s="389">
        <f t="shared" si="24"/>
        <v>0.51714285714285713</v>
      </c>
      <c r="AI11" s="372">
        <f t="shared" si="1"/>
        <v>0.75857142857142856</v>
      </c>
      <c r="AJ11" s="11" t="s">
        <v>439</v>
      </c>
      <c r="AK11" s="5">
        <v>23240492</v>
      </c>
      <c r="AL11" s="5">
        <v>23240492</v>
      </c>
      <c r="AM11" s="6">
        <f t="shared" si="20"/>
        <v>0</v>
      </c>
      <c r="AN11" s="368">
        <v>0</v>
      </c>
      <c r="AO11" s="376">
        <f t="shared" si="2"/>
        <v>0</v>
      </c>
      <c r="AP11" s="368">
        <v>1</v>
      </c>
      <c r="AQ11" s="376">
        <f t="shared" si="3"/>
        <v>0.14285714285714285</v>
      </c>
      <c r="AR11" s="368">
        <v>0.8</v>
      </c>
      <c r="AS11" s="376">
        <f t="shared" si="4"/>
        <v>0.1142857142857143</v>
      </c>
      <c r="AT11" s="375">
        <f t="shared" si="23"/>
        <v>0.25714285714285712</v>
      </c>
      <c r="AU11" s="372">
        <f t="shared" si="5"/>
        <v>1</v>
      </c>
      <c r="AV11" s="389">
        <f t="shared" si="6"/>
        <v>0.77428571428571424</v>
      </c>
      <c r="AW11" s="372">
        <f t="shared" si="7"/>
        <v>0.88714285714285712</v>
      </c>
      <c r="AX11" s="11" t="s">
        <v>868</v>
      </c>
    </row>
    <row r="12" spans="1:52" ht="28.5" hidden="1" x14ac:dyDescent="0.25">
      <c r="A12" s="513"/>
      <c r="B12" s="523"/>
      <c r="C12" s="377" t="str">
        <f>[1]Asignación!A11</f>
        <v>SF-PY3.5</v>
      </c>
      <c r="D12" s="378" t="str">
        <f>[1]Asignación!B11</f>
        <v>Estudio de Factibilidad Proyecto Inmersión Total en Casa.</v>
      </c>
      <c r="E12" s="379">
        <f>[1]Asignación!C11</f>
        <v>310</v>
      </c>
      <c r="F12" s="36" t="s">
        <v>31</v>
      </c>
      <c r="G12" s="36"/>
      <c r="H12" s="36"/>
      <c r="I12" s="380">
        <f>[1]SEGUIMIENTO!I17</f>
        <v>0</v>
      </c>
      <c r="J12" s="380">
        <v>0</v>
      </c>
      <c r="K12" s="381">
        <f t="shared" si="8"/>
        <v>0</v>
      </c>
      <c r="L12" s="382"/>
      <c r="M12" s="383">
        <f t="shared" si="9"/>
        <v>0</v>
      </c>
      <c r="N12" s="382"/>
      <c r="O12" s="383">
        <f t="shared" si="10"/>
        <v>0</v>
      </c>
      <c r="P12" s="382"/>
      <c r="Q12" s="383">
        <f t="shared" si="11"/>
        <v>0</v>
      </c>
      <c r="R12" s="384">
        <f t="shared" si="21"/>
        <v>0</v>
      </c>
      <c r="S12" s="389">
        <f t="shared" si="12"/>
        <v>0</v>
      </c>
      <c r="T12" s="390">
        <f t="shared" si="13"/>
        <v>0</v>
      </c>
      <c r="U12" s="385">
        <f t="shared" si="14"/>
        <v>0</v>
      </c>
      <c r="V12" s="386"/>
      <c r="W12" s="380">
        <v>0</v>
      </c>
      <c r="X12" s="380">
        <v>0</v>
      </c>
      <c r="Y12" s="381">
        <f t="shared" si="15"/>
        <v>0</v>
      </c>
      <c r="Z12" s="382"/>
      <c r="AA12" s="383">
        <f t="shared" si="22"/>
        <v>0</v>
      </c>
      <c r="AB12" s="382"/>
      <c r="AC12" s="383">
        <f t="shared" si="16"/>
        <v>0</v>
      </c>
      <c r="AD12" s="382"/>
      <c r="AE12" s="383">
        <f t="shared" si="17"/>
        <v>0</v>
      </c>
      <c r="AF12" s="375">
        <f t="shared" si="18"/>
        <v>0</v>
      </c>
      <c r="AG12" s="385">
        <f t="shared" si="19"/>
        <v>0</v>
      </c>
      <c r="AH12" s="389">
        <f t="shared" si="24"/>
        <v>0</v>
      </c>
      <c r="AI12" s="385">
        <f t="shared" si="1"/>
        <v>0</v>
      </c>
      <c r="AJ12" s="386"/>
      <c r="AK12" s="380">
        <v>0</v>
      </c>
      <c r="AL12" s="380">
        <v>0</v>
      </c>
      <c r="AM12" s="381">
        <f t="shared" si="20"/>
        <v>0</v>
      </c>
      <c r="AN12" s="382"/>
      <c r="AO12" s="376">
        <f t="shared" si="2"/>
        <v>0</v>
      </c>
      <c r="AP12" s="382"/>
      <c r="AQ12" s="376">
        <f t="shared" si="3"/>
        <v>0</v>
      </c>
      <c r="AR12" s="382"/>
      <c r="AS12" s="376">
        <f t="shared" si="4"/>
        <v>0</v>
      </c>
      <c r="AT12" s="375">
        <f t="shared" si="23"/>
        <v>0</v>
      </c>
      <c r="AU12" s="385">
        <f t="shared" si="5"/>
        <v>0</v>
      </c>
      <c r="AV12" s="389">
        <f t="shared" si="6"/>
        <v>0</v>
      </c>
      <c r="AW12" s="385">
        <f t="shared" si="7"/>
        <v>0</v>
      </c>
      <c r="AX12" s="386"/>
      <c r="AZ12" s="307">
        <v>0</v>
      </c>
    </row>
    <row r="13" spans="1:52" ht="96" customHeight="1" x14ac:dyDescent="0.25">
      <c r="A13" s="513"/>
      <c r="B13" s="515" t="s">
        <v>50</v>
      </c>
      <c r="C13" s="261" t="str">
        <f>[1]Asignación!A12</f>
        <v>SF-PY4.1</v>
      </c>
      <c r="D13" s="259" t="str">
        <f>[1]Asignación!B12</f>
        <v>Apoyo a los procesos de autoevaluación en cada programa; Talleres de Analisis de información de producción de juicios de valor; Talleres de socialización de resultados; conocimientos de referencias; asesorias de pares colaborativos; reproducción de material.</v>
      </c>
      <c r="E13" s="260">
        <f>[1]Asignación!C12</f>
        <v>510</v>
      </c>
      <c r="F13" s="374" t="s">
        <v>53</v>
      </c>
      <c r="G13" s="374">
        <v>22</v>
      </c>
      <c r="H13" s="374" t="s">
        <v>54</v>
      </c>
      <c r="I13" s="5">
        <f>[1]SEGUIMIENTO!I18</f>
        <v>360600000</v>
      </c>
      <c r="J13" s="5">
        <v>71233806</v>
      </c>
      <c r="K13" s="6">
        <f t="shared" si="8"/>
        <v>289366194</v>
      </c>
      <c r="L13" s="368">
        <v>2</v>
      </c>
      <c r="M13" s="96">
        <f t="shared" si="9"/>
        <v>9.0909090909090912E-2</v>
      </c>
      <c r="N13" s="368">
        <v>2</v>
      </c>
      <c r="O13" s="96">
        <f t="shared" si="10"/>
        <v>9.0909090909090912E-2</v>
      </c>
      <c r="P13" s="368">
        <v>1.72</v>
      </c>
      <c r="Q13" s="96">
        <f t="shared" si="11"/>
        <v>7.8181818181818186E-2</v>
      </c>
      <c r="R13" s="375">
        <f t="shared" si="21"/>
        <v>0.26</v>
      </c>
      <c r="S13" s="389">
        <f t="shared" si="12"/>
        <v>0.1975424459234609</v>
      </c>
      <c r="T13" s="390">
        <f t="shared" si="13"/>
        <v>0.26</v>
      </c>
      <c r="U13" s="372">
        <f t="shared" si="14"/>
        <v>0.22877122296173047</v>
      </c>
      <c r="V13" s="8" t="s">
        <v>440</v>
      </c>
      <c r="W13" s="5">
        <v>367600000</v>
      </c>
      <c r="X13" s="5">
        <v>325522424</v>
      </c>
      <c r="Y13" s="6">
        <f t="shared" si="15"/>
        <v>42077576</v>
      </c>
      <c r="Z13" s="368">
        <v>2</v>
      </c>
      <c r="AA13" s="96">
        <f t="shared" si="22"/>
        <v>9.0909090909090912E-2</v>
      </c>
      <c r="AB13" s="368">
        <v>2</v>
      </c>
      <c r="AC13" s="96">
        <f t="shared" si="16"/>
        <v>9.0909090909090912E-2</v>
      </c>
      <c r="AD13" s="368">
        <v>1.8</v>
      </c>
      <c r="AE13" s="96">
        <f t="shared" si="17"/>
        <v>8.1818181818181818E-2</v>
      </c>
      <c r="AF13" s="375">
        <f t="shared" si="18"/>
        <v>0.26363636363636367</v>
      </c>
      <c r="AG13" s="372">
        <f t="shared" si="19"/>
        <v>0.88553434167573453</v>
      </c>
      <c r="AH13" s="389">
        <f t="shared" si="24"/>
        <v>0.52363636363636368</v>
      </c>
      <c r="AI13" s="372">
        <f t="shared" si="1"/>
        <v>0.70458535265604905</v>
      </c>
      <c r="AJ13" s="8" t="s">
        <v>440</v>
      </c>
      <c r="AK13" s="5">
        <v>367600000</v>
      </c>
      <c r="AL13" s="5">
        <v>325522424</v>
      </c>
      <c r="AM13" s="6">
        <f t="shared" si="20"/>
        <v>42077576</v>
      </c>
      <c r="AN13" s="368">
        <v>2</v>
      </c>
      <c r="AO13" s="376">
        <f t="shared" si="2"/>
        <v>9.0909090909090912E-2</v>
      </c>
      <c r="AP13" s="368">
        <v>2</v>
      </c>
      <c r="AQ13" s="376">
        <f t="shared" si="3"/>
        <v>9.0909090909090912E-2</v>
      </c>
      <c r="AR13" s="368">
        <v>1.8</v>
      </c>
      <c r="AS13" s="376">
        <f t="shared" si="4"/>
        <v>8.1818181818181818E-2</v>
      </c>
      <c r="AT13" s="375">
        <f t="shared" si="23"/>
        <v>0.26363636363636367</v>
      </c>
      <c r="AU13" s="372">
        <f t="shared" si="5"/>
        <v>0.88553434167573453</v>
      </c>
      <c r="AV13" s="389">
        <f t="shared" si="6"/>
        <v>0.78727272727272735</v>
      </c>
      <c r="AW13" s="372">
        <f t="shared" si="7"/>
        <v>0.83640353447423088</v>
      </c>
      <c r="AX13" s="8" t="s">
        <v>869</v>
      </c>
    </row>
    <row r="14" spans="1:52" ht="45.75" customHeight="1" x14ac:dyDescent="0.25">
      <c r="A14" s="513"/>
      <c r="B14" s="516"/>
      <c r="C14" s="261" t="str">
        <f>[1]Asignación!A13</f>
        <v>SF-PY4.2</v>
      </c>
      <c r="D14" s="259" t="str">
        <f>[1]Asignación!B13</f>
        <v>Aprestamiento en Lectura Crítica y Matemática- Plan de Fomento a la Calidad-FASE I-Permanencia y graduación.</v>
      </c>
      <c r="E14" s="260">
        <f>[1]Asignación!C13</f>
        <v>510</v>
      </c>
      <c r="F14" s="374" t="s">
        <v>31</v>
      </c>
      <c r="G14" s="374">
        <v>1800</v>
      </c>
      <c r="H14" s="374" t="s">
        <v>57</v>
      </c>
      <c r="I14" s="5">
        <f>[1]SEGUIMIENTO!I19</f>
        <v>100000000</v>
      </c>
      <c r="J14" s="5">
        <v>14017137</v>
      </c>
      <c r="K14" s="6">
        <f t="shared" si="8"/>
        <v>85982863</v>
      </c>
      <c r="L14" s="368">
        <v>150</v>
      </c>
      <c r="M14" s="96">
        <f t="shared" si="9"/>
        <v>8.3333333333333329E-2</v>
      </c>
      <c r="N14" s="368">
        <v>150</v>
      </c>
      <c r="O14" s="96">
        <f t="shared" si="10"/>
        <v>8.3333333333333329E-2</v>
      </c>
      <c r="P14" s="368">
        <v>168</v>
      </c>
      <c r="Q14" s="96">
        <f t="shared" si="11"/>
        <v>9.3333333333333338E-2</v>
      </c>
      <c r="R14" s="375">
        <f t="shared" si="21"/>
        <v>0.26</v>
      </c>
      <c r="S14" s="389">
        <f t="shared" si="12"/>
        <v>0.14017136999999999</v>
      </c>
      <c r="T14" s="390">
        <f t="shared" si="13"/>
        <v>0.26</v>
      </c>
      <c r="U14" s="372">
        <f t="shared" si="14"/>
        <v>0.20008568500000001</v>
      </c>
      <c r="V14" s="8" t="s">
        <v>441</v>
      </c>
      <c r="W14" s="5">
        <v>100000000</v>
      </c>
      <c r="X14" s="5">
        <v>100000000</v>
      </c>
      <c r="Y14" s="6">
        <f t="shared" si="15"/>
        <v>0</v>
      </c>
      <c r="Z14" s="368">
        <v>200</v>
      </c>
      <c r="AA14" s="96">
        <f t="shared" si="22"/>
        <v>0.1111111111111111</v>
      </c>
      <c r="AB14" s="368">
        <v>100</v>
      </c>
      <c r="AC14" s="96">
        <f t="shared" si="16"/>
        <v>5.5555555555555552E-2</v>
      </c>
      <c r="AD14" s="368">
        <v>150</v>
      </c>
      <c r="AE14" s="96">
        <f t="shared" si="17"/>
        <v>8.3333333333333329E-2</v>
      </c>
      <c r="AF14" s="375">
        <f>SUM(AA14,AC14,AE14)</f>
        <v>0.25</v>
      </c>
      <c r="AG14" s="372">
        <f t="shared" si="19"/>
        <v>1</v>
      </c>
      <c r="AH14" s="389">
        <f t="shared" si="24"/>
        <v>0.51</v>
      </c>
      <c r="AI14" s="372">
        <f t="shared" si="1"/>
        <v>0.755</v>
      </c>
      <c r="AJ14" s="8" t="s">
        <v>441</v>
      </c>
      <c r="AK14" s="5">
        <v>100000000</v>
      </c>
      <c r="AL14" s="5">
        <v>100000000</v>
      </c>
      <c r="AM14" s="6">
        <f t="shared" si="20"/>
        <v>0</v>
      </c>
      <c r="AN14" s="368">
        <v>200</v>
      </c>
      <c r="AO14" s="376">
        <f t="shared" si="2"/>
        <v>0.1111111111111111</v>
      </c>
      <c r="AP14" s="368">
        <v>100</v>
      </c>
      <c r="AQ14" s="376">
        <f t="shared" si="3"/>
        <v>5.5555555555555552E-2</v>
      </c>
      <c r="AR14" s="368">
        <v>150</v>
      </c>
      <c r="AS14" s="376">
        <f t="shared" si="4"/>
        <v>8.3333333333333329E-2</v>
      </c>
      <c r="AT14" s="375">
        <f>SUM(AO14,AQ14,AS14)</f>
        <v>0.25</v>
      </c>
      <c r="AU14" s="372">
        <f t="shared" si="5"/>
        <v>1</v>
      </c>
      <c r="AV14" s="389">
        <f t="shared" si="6"/>
        <v>0.76</v>
      </c>
      <c r="AW14" s="372">
        <f t="shared" si="7"/>
        <v>0.88</v>
      </c>
      <c r="AX14" s="8" t="s">
        <v>876</v>
      </c>
    </row>
    <row r="15" spans="1:52" ht="48.75" customHeight="1" x14ac:dyDescent="0.25">
      <c r="A15" s="513"/>
      <c r="B15" s="516"/>
      <c r="C15" s="261" t="str">
        <f>[1]Asignación!A14</f>
        <v>SF-PY4.3</v>
      </c>
      <c r="D15" s="259" t="str">
        <f>[1]Asignación!B14</f>
        <v>Fortalecimiento de las Competencias Genéricas Saber Pro- Plan de Fomento a la Calidad-FASE I -Permanencia y graduación.</v>
      </c>
      <c r="E15" s="260">
        <f>[1]Asignación!C14</f>
        <v>510</v>
      </c>
      <c r="F15" s="374" t="s">
        <v>31</v>
      </c>
      <c r="G15" s="374">
        <v>800</v>
      </c>
      <c r="H15" s="374" t="s">
        <v>57</v>
      </c>
      <c r="I15" s="5">
        <f>[1]SEGUIMIENTO!I20</f>
        <v>75092920</v>
      </c>
      <c r="J15" s="5">
        <v>0</v>
      </c>
      <c r="K15" s="6">
        <f t="shared" si="8"/>
        <v>75092920</v>
      </c>
      <c r="L15" s="368">
        <v>208</v>
      </c>
      <c r="M15" s="96">
        <f t="shared" si="9"/>
        <v>0.26</v>
      </c>
      <c r="N15" s="368">
        <v>0</v>
      </c>
      <c r="O15" s="96">
        <f t="shared" si="10"/>
        <v>0</v>
      </c>
      <c r="P15" s="368">
        <v>0</v>
      </c>
      <c r="Q15" s="96">
        <f t="shared" si="11"/>
        <v>0</v>
      </c>
      <c r="R15" s="375">
        <f t="shared" si="21"/>
        <v>0.26</v>
      </c>
      <c r="S15" s="389">
        <f t="shared" si="12"/>
        <v>0</v>
      </c>
      <c r="T15" s="390">
        <f t="shared" si="13"/>
        <v>0.26</v>
      </c>
      <c r="U15" s="372">
        <f t="shared" si="14"/>
        <v>0.13</v>
      </c>
      <c r="V15" s="8" t="s">
        <v>442</v>
      </c>
      <c r="W15" s="5">
        <v>75092920</v>
      </c>
      <c r="X15" s="5">
        <v>75092920</v>
      </c>
      <c r="Y15" s="6">
        <f t="shared" si="15"/>
        <v>0</v>
      </c>
      <c r="Z15" s="368">
        <v>208</v>
      </c>
      <c r="AA15" s="96">
        <f t="shared" si="22"/>
        <v>0.26</v>
      </c>
      <c r="AB15" s="368">
        <v>0</v>
      </c>
      <c r="AC15" s="96">
        <f t="shared" si="16"/>
        <v>0</v>
      </c>
      <c r="AD15" s="368"/>
      <c r="AE15" s="96">
        <f t="shared" si="17"/>
        <v>0</v>
      </c>
      <c r="AF15" s="375">
        <f t="shared" si="18"/>
        <v>0.26</v>
      </c>
      <c r="AG15" s="372">
        <f t="shared" si="19"/>
        <v>1</v>
      </c>
      <c r="AH15" s="391">
        <f t="shared" si="24"/>
        <v>0.52</v>
      </c>
      <c r="AI15" s="372">
        <f t="shared" si="1"/>
        <v>0.76</v>
      </c>
      <c r="AJ15" s="8" t="s">
        <v>442</v>
      </c>
      <c r="AK15" s="5">
        <v>75092920</v>
      </c>
      <c r="AL15" s="5">
        <v>75092920</v>
      </c>
      <c r="AM15" s="6">
        <f t="shared" si="20"/>
        <v>0</v>
      </c>
      <c r="AN15" s="368">
        <v>208</v>
      </c>
      <c r="AO15" s="376">
        <f t="shared" si="2"/>
        <v>0.26</v>
      </c>
      <c r="AP15" s="368">
        <v>0</v>
      </c>
      <c r="AQ15" s="376">
        <f t="shared" si="3"/>
        <v>0</v>
      </c>
      <c r="AR15" s="368">
        <v>0</v>
      </c>
      <c r="AS15" s="376">
        <f t="shared" si="4"/>
        <v>0</v>
      </c>
      <c r="AT15" s="375">
        <f t="shared" ref="AT15:AT26" si="25">SUM(AO15,AQ15,AS15)</f>
        <v>0.26</v>
      </c>
      <c r="AU15" s="372">
        <f t="shared" si="5"/>
        <v>1</v>
      </c>
      <c r="AV15" s="389">
        <f t="shared" si="6"/>
        <v>0.78</v>
      </c>
      <c r="AW15" s="372">
        <f t="shared" si="7"/>
        <v>0.89</v>
      </c>
      <c r="AX15" s="8" t="s">
        <v>870</v>
      </c>
    </row>
    <row r="16" spans="1:52" ht="37.5" customHeight="1" x14ac:dyDescent="0.25">
      <c r="A16" s="513"/>
      <c r="B16" s="516"/>
      <c r="C16" s="261" t="str">
        <f>[1]Asignación!A15</f>
        <v>SF-PY4.4</v>
      </c>
      <c r="D16" s="259" t="str">
        <f>[1]Asignación!B15</f>
        <v>Consejerías Académicas -Plan de Fomento a la Calidad-FASE I-Permanencia y graduación.</v>
      </c>
      <c r="E16" s="260">
        <f>[1]Asignación!C15</f>
        <v>510</v>
      </c>
      <c r="F16" s="374" t="s">
        <v>31</v>
      </c>
      <c r="G16" s="374">
        <v>800</v>
      </c>
      <c r="H16" s="374" t="s">
        <v>62</v>
      </c>
      <c r="I16" s="5">
        <f>[1]SEGUIMIENTO!I21</f>
        <v>103646000</v>
      </c>
      <c r="J16" s="5">
        <v>30196949</v>
      </c>
      <c r="K16" s="6">
        <f t="shared" si="8"/>
        <v>73449051</v>
      </c>
      <c r="L16" s="368">
        <v>208</v>
      </c>
      <c r="M16" s="96">
        <f t="shared" si="9"/>
        <v>0.26</v>
      </c>
      <c r="N16" s="368">
        <v>0</v>
      </c>
      <c r="O16" s="96">
        <f t="shared" si="10"/>
        <v>0</v>
      </c>
      <c r="P16" s="368">
        <v>0</v>
      </c>
      <c r="Q16" s="96">
        <f t="shared" si="11"/>
        <v>0</v>
      </c>
      <c r="R16" s="375">
        <f t="shared" si="21"/>
        <v>0.26</v>
      </c>
      <c r="S16" s="389">
        <f t="shared" si="12"/>
        <v>0.29134697914053603</v>
      </c>
      <c r="T16" s="390">
        <f t="shared" si="13"/>
        <v>0.26</v>
      </c>
      <c r="U16" s="372">
        <f t="shared" si="14"/>
        <v>0.27567348957026805</v>
      </c>
      <c r="V16" s="8" t="s">
        <v>443</v>
      </c>
      <c r="W16" s="5">
        <v>103646000</v>
      </c>
      <c r="X16" s="5">
        <v>103646000</v>
      </c>
      <c r="Y16" s="6">
        <f t="shared" si="15"/>
        <v>0</v>
      </c>
      <c r="Z16" s="368">
        <v>208</v>
      </c>
      <c r="AA16" s="96">
        <f t="shared" si="22"/>
        <v>0.26</v>
      </c>
      <c r="AB16" s="368">
        <v>0</v>
      </c>
      <c r="AC16" s="96">
        <f t="shared" si="16"/>
        <v>0</v>
      </c>
      <c r="AD16" s="368">
        <v>0</v>
      </c>
      <c r="AE16" s="96">
        <f t="shared" si="17"/>
        <v>0</v>
      </c>
      <c r="AF16" s="375">
        <f t="shared" si="18"/>
        <v>0.26</v>
      </c>
      <c r="AG16" s="372">
        <f t="shared" si="19"/>
        <v>1</v>
      </c>
      <c r="AH16" s="389">
        <f t="shared" si="24"/>
        <v>0.52</v>
      </c>
      <c r="AI16" s="372">
        <f t="shared" si="1"/>
        <v>0.76</v>
      </c>
      <c r="AJ16" s="8" t="s">
        <v>443</v>
      </c>
      <c r="AK16" s="5">
        <v>103646000</v>
      </c>
      <c r="AL16" s="5">
        <v>103646000</v>
      </c>
      <c r="AM16" s="6">
        <f t="shared" si="20"/>
        <v>0</v>
      </c>
      <c r="AN16" s="368">
        <v>208</v>
      </c>
      <c r="AO16" s="376">
        <f t="shared" si="2"/>
        <v>0.26</v>
      </c>
      <c r="AP16" s="368">
        <v>0</v>
      </c>
      <c r="AQ16" s="376">
        <f t="shared" si="3"/>
        <v>0</v>
      </c>
      <c r="AR16" s="368">
        <v>0</v>
      </c>
      <c r="AS16" s="376">
        <f t="shared" si="4"/>
        <v>0</v>
      </c>
      <c r="AT16" s="375">
        <f t="shared" si="25"/>
        <v>0.26</v>
      </c>
      <c r="AU16" s="372">
        <f t="shared" si="5"/>
        <v>1</v>
      </c>
      <c r="AV16" s="389">
        <f t="shared" si="6"/>
        <v>0.78</v>
      </c>
      <c r="AW16" s="372">
        <f t="shared" si="7"/>
        <v>0.89</v>
      </c>
      <c r="AX16" s="8" t="s">
        <v>443</v>
      </c>
    </row>
    <row r="17" spans="1:52" ht="36" customHeight="1" x14ac:dyDescent="0.25">
      <c r="A17" s="513"/>
      <c r="B17" s="517"/>
      <c r="C17" s="261" t="str">
        <f>[1]Asignación!A16</f>
        <v>SF-PY4.5</v>
      </c>
      <c r="D17" s="259" t="str">
        <f>[1]Asignación!B16</f>
        <v>Apoyo a la Politica de Inclusión-Permanencia y graduación.</v>
      </c>
      <c r="E17" s="260">
        <f>[1]Asignación!C16</f>
        <v>510</v>
      </c>
      <c r="F17" s="374" t="s">
        <v>31</v>
      </c>
      <c r="G17" s="374">
        <v>1</v>
      </c>
      <c r="H17" s="374" t="s">
        <v>430</v>
      </c>
      <c r="I17" s="5">
        <f>[1]SEGUIMIENTO!I22</f>
        <v>34000000</v>
      </c>
      <c r="J17" s="5">
        <v>1076000</v>
      </c>
      <c r="K17" s="6">
        <f t="shared" si="8"/>
        <v>32924000</v>
      </c>
      <c r="L17" s="368">
        <v>0</v>
      </c>
      <c r="M17" s="96">
        <f t="shared" si="9"/>
        <v>0</v>
      </c>
      <c r="N17" s="368">
        <v>0</v>
      </c>
      <c r="O17" s="96">
        <f t="shared" si="10"/>
        <v>0</v>
      </c>
      <c r="P17" s="368">
        <v>0.2</v>
      </c>
      <c r="Q17" s="96">
        <f t="shared" si="11"/>
        <v>0.2</v>
      </c>
      <c r="R17" s="375">
        <f t="shared" si="21"/>
        <v>0.2</v>
      </c>
      <c r="S17" s="389">
        <f t="shared" si="12"/>
        <v>3.164705882352941E-2</v>
      </c>
      <c r="T17" s="390">
        <f t="shared" si="13"/>
        <v>0.2</v>
      </c>
      <c r="U17" s="372">
        <f t="shared" si="14"/>
        <v>0.11582352941176471</v>
      </c>
      <c r="V17" s="8" t="s">
        <v>444</v>
      </c>
      <c r="W17" s="5">
        <v>34000000</v>
      </c>
      <c r="X17" s="5">
        <v>1076000</v>
      </c>
      <c r="Y17" s="6">
        <f t="shared" si="15"/>
        <v>32924000</v>
      </c>
      <c r="Z17" s="368">
        <v>0</v>
      </c>
      <c r="AA17" s="96">
        <f t="shared" si="22"/>
        <v>0</v>
      </c>
      <c r="AB17" s="368">
        <v>0</v>
      </c>
      <c r="AC17" s="96">
        <f t="shared" si="16"/>
        <v>0</v>
      </c>
      <c r="AD17" s="368">
        <v>0.3</v>
      </c>
      <c r="AE17" s="96">
        <f t="shared" si="17"/>
        <v>0.3</v>
      </c>
      <c r="AF17" s="375">
        <f t="shared" si="18"/>
        <v>0.3</v>
      </c>
      <c r="AG17" s="372">
        <f t="shared" si="19"/>
        <v>3.164705882352941E-2</v>
      </c>
      <c r="AH17" s="389">
        <f t="shared" si="24"/>
        <v>0.5</v>
      </c>
      <c r="AI17" s="372">
        <f t="shared" si="1"/>
        <v>0.26582352941176468</v>
      </c>
      <c r="AJ17" s="8" t="s">
        <v>444</v>
      </c>
      <c r="AK17" s="5">
        <v>34000000</v>
      </c>
      <c r="AL17" s="5">
        <v>2076000</v>
      </c>
      <c r="AM17" s="6">
        <f t="shared" si="20"/>
        <v>31924000</v>
      </c>
      <c r="AN17" s="368">
        <v>0</v>
      </c>
      <c r="AO17" s="376">
        <f t="shared" si="2"/>
        <v>0</v>
      </c>
      <c r="AP17" s="368">
        <v>0</v>
      </c>
      <c r="AQ17" s="376">
        <f t="shared" si="3"/>
        <v>0</v>
      </c>
      <c r="AR17" s="368">
        <v>0.25</v>
      </c>
      <c r="AS17" s="376">
        <f t="shared" si="4"/>
        <v>0.25</v>
      </c>
      <c r="AT17" s="375">
        <f t="shared" si="25"/>
        <v>0.25</v>
      </c>
      <c r="AU17" s="372">
        <f t="shared" si="5"/>
        <v>6.1058823529411763E-2</v>
      </c>
      <c r="AV17" s="389">
        <f t="shared" si="6"/>
        <v>0.75</v>
      </c>
      <c r="AW17" s="372">
        <f t="shared" si="7"/>
        <v>0.40552941176470586</v>
      </c>
      <c r="AX17" s="8" t="s">
        <v>444</v>
      </c>
    </row>
    <row r="18" spans="1:52" ht="45" customHeight="1" x14ac:dyDescent="0.25">
      <c r="A18" s="513"/>
      <c r="B18" s="515" t="s">
        <v>65</v>
      </c>
      <c r="C18" s="261" t="str">
        <f>[1]Asignación!A17</f>
        <v>SF-PY5.1</v>
      </c>
      <c r="D18" s="259" t="str">
        <f>[1]Asignación!B17</f>
        <v>Funcionamiento de la Unidad de Apoyo a los Procesos de Autoevaluación  y Acreditación Institucional.</v>
      </c>
      <c r="E18" s="261">
        <f>[1]Asignación!C17</f>
        <v>510</v>
      </c>
      <c r="F18" s="374" t="s">
        <v>31</v>
      </c>
      <c r="G18" s="374">
        <v>35</v>
      </c>
      <c r="H18" s="374" t="s">
        <v>431</v>
      </c>
      <c r="I18" s="5">
        <f>[1]SEGUIMIENTO!I23</f>
        <v>165000000</v>
      </c>
      <c r="J18" s="5">
        <v>87996965</v>
      </c>
      <c r="K18" s="6">
        <f t="shared" si="8"/>
        <v>77003035</v>
      </c>
      <c r="L18" s="368">
        <v>0</v>
      </c>
      <c r="M18" s="96">
        <f t="shared" si="9"/>
        <v>0</v>
      </c>
      <c r="N18" s="368">
        <v>0</v>
      </c>
      <c r="O18" s="96">
        <f t="shared" si="10"/>
        <v>0</v>
      </c>
      <c r="P18" s="368">
        <v>9.1</v>
      </c>
      <c r="Q18" s="96">
        <f t="shared" si="11"/>
        <v>0.26</v>
      </c>
      <c r="R18" s="375">
        <f t="shared" si="21"/>
        <v>0.26</v>
      </c>
      <c r="S18" s="389">
        <f t="shared" si="12"/>
        <v>0.53331493939393937</v>
      </c>
      <c r="T18" s="390">
        <f t="shared" si="13"/>
        <v>0.26</v>
      </c>
      <c r="U18" s="372">
        <f t="shared" si="14"/>
        <v>0.39665746969696969</v>
      </c>
      <c r="V18" s="8" t="s">
        <v>445</v>
      </c>
      <c r="W18" s="5">
        <v>181000000</v>
      </c>
      <c r="X18" s="5">
        <v>180834720</v>
      </c>
      <c r="Y18" s="6">
        <f t="shared" si="15"/>
        <v>165280</v>
      </c>
      <c r="Z18" s="368">
        <v>9.1</v>
      </c>
      <c r="AA18" s="96">
        <f t="shared" si="22"/>
        <v>0.26</v>
      </c>
      <c r="AB18" s="368">
        <v>0</v>
      </c>
      <c r="AC18" s="96">
        <f t="shared" si="16"/>
        <v>0</v>
      </c>
      <c r="AD18" s="368">
        <v>0</v>
      </c>
      <c r="AE18" s="96">
        <f t="shared" si="17"/>
        <v>0</v>
      </c>
      <c r="AF18" s="375">
        <f t="shared" si="18"/>
        <v>0.26</v>
      </c>
      <c r="AG18" s="372">
        <f t="shared" si="19"/>
        <v>0.99908685082872928</v>
      </c>
      <c r="AH18" s="389">
        <f t="shared" si="24"/>
        <v>0.52</v>
      </c>
      <c r="AI18" s="372">
        <f t="shared" si="1"/>
        <v>0.7595434254143647</v>
      </c>
      <c r="AJ18" s="8" t="s">
        <v>445</v>
      </c>
      <c r="AK18" s="5">
        <v>181000000</v>
      </c>
      <c r="AL18" s="5">
        <v>180834720</v>
      </c>
      <c r="AM18" s="6">
        <f t="shared" si="20"/>
        <v>165280</v>
      </c>
      <c r="AN18" s="368">
        <v>9.1</v>
      </c>
      <c r="AO18" s="376">
        <f t="shared" si="2"/>
        <v>0.26</v>
      </c>
      <c r="AP18" s="368">
        <v>0</v>
      </c>
      <c r="AQ18" s="376">
        <f t="shared" si="3"/>
        <v>0</v>
      </c>
      <c r="AR18" s="368">
        <v>0</v>
      </c>
      <c r="AS18" s="376">
        <f t="shared" si="4"/>
        <v>0</v>
      </c>
      <c r="AT18" s="375">
        <f t="shared" si="25"/>
        <v>0.26</v>
      </c>
      <c r="AU18" s="372">
        <f t="shared" si="5"/>
        <v>0.99908685082872928</v>
      </c>
      <c r="AV18" s="389">
        <f t="shared" si="6"/>
        <v>0.78</v>
      </c>
      <c r="AW18" s="372">
        <f t="shared" si="7"/>
        <v>0.8895434254143646</v>
      </c>
      <c r="AX18" s="8" t="s">
        <v>871</v>
      </c>
    </row>
    <row r="19" spans="1:52" ht="141" customHeight="1" x14ac:dyDescent="0.25">
      <c r="A19" s="513"/>
      <c r="B19" s="516"/>
      <c r="C19" s="261" t="str">
        <f>[1]Asignación!A18</f>
        <v>SF-PY5.2</v>
      </c>
      <c r="D19" s="259" t="str">
        <f>[1]Asignación!B18</f>
        <v>Procesos de Autoevaluación y Acreditación Institucional; Capacitaciones  y encuentros para apoyo con Universidades del país.</v>
      </c>
      <c r="E19" s="261">
        <f>[1]Asignación!C18</f>
        <v>510</v>
      </c>
      <c r="F19" s="374" t="s">
        <v>31</v>
      </c>
      <c r="G19" s="374">
        <v>35</v>
      </c>
      <c r="H19" s="374" t="s">
        <v>431</v>
      </c>
      <c r="I19" s="5">
        <f>[1]SEGUIMIENTO!I24</f>
        <v>32440391</v>
      </c>
      <c r="J19" s="5">
        <v>18359120</v>
      </c>
      <c r="K19" s="6">
        <f t="shared" si="8"/>
        <v>14081271</v>
      </c>
      <c r="L19" s="368">
        <v>0</v>
      </c>
      <c r="M19" s="96">
        <f t="shared" si="9"/>
        <v>0</v>
      </c>
      <c r="N19" s="368">
        <v>0</v>
      </c>
      <c r="O19" s="96">
        <f t="shared" si="10"/>
        <v>0</v>
      </c>
      <c r="P19" s="368">
        <v>9.1</v>
      </c>
      <c r="Q19" s="96">
        <f t="shared" si="11"/>
        <v>0.26</v>
      </c>
      <c r="R19" s="375">
        <f t="shared" si="21"/>
        <v>0.26</v>
      </c>
      <c r="S19" s="389">
        <f t="shared" si="12"/>
        <v>0.56593399259583521</v>
      </c>
      <c r="T19" s="390">
        <f t="shared" si="13"/>
        <v>0.26</v>
      </c>
      <c r="U19" s="372">
        <f t="shared" si="14"/>
        <v>0.41296699629791761</v>
      </c>
      <c r="V19" s="8" t="s">
        <v>446</v>
      </c>
      <c r="W19" s="5">
        <v>53440391</v>
      </c>
      <c r="X19" s="5">
        <v>32440391</v>
      </c>
      <c r="Y19" s="6">
        <f t="shared" si="15"/>
        <v>21000000</v>
      </c>
      <c r="Z19" s="368">
        <v>9.1</v>
      </c>
      <c r="AA19" s="96">
        <f t="shared" si="22"/>
        <v>0.26</v>
      </c>
      <c r="AB19" s="368">
        <v>0</v>
      </c>
      <c r="AC19" s="96">
        <f t="shared" si="16"/>
        <v>0</v>
      </c>
      <c r="AD19" s="368">
        <v>0</v>
      </c>
      <c r="AE19" s="96">
        <f t="shared" si="17"/>
        <v>0</v>
      </c>
      <c r="AF19" s="375">
        <f t="shared" si="18"/>
        <v>0.26</v>
      </c>
      <c r="AG19" s="372">
        <f t="shared" si="19"/>
        <v>0.607038803290193</v>
      </c>
      <c r="AH19" s="389">
        <f t="shared" si="24"/>
        <v>0.52</v>
      </c>
      <c r="AI19" s="372">
        <f t="shared" si="1"/>
        <v>0.56351940164509651</v>
      </c>
      <c r="AJ19" s="8" t="s">
        <v>446</v>
      </c>
      <c r="AK19" s="5">
        <v>53440391</v>
      </c>
      <c r="AL19" s="5">
        <v>32440391</v>
      </c>
      <c r="AM19" s="6">
        <f t="shared" si="20"/>
        <v>21000000</v>
      </c>
      <c r="AN19" s="368">
        <v>9.1</v>
      </c>
      <c r="AO19" s="376">
        <f t="shared" si="2"/>
        <v>0.26</v>
      </c>
      <c r="AP19" s="368">
        <v>0</v>
      </c>
      <c r="AQ19" s="376">
        <f t="shared" si="3"/>
        <v>0</v>
      </c>
      <c r="AR19" s="368">
        <v>0</v>
      </c>
      <c r="AS19" s="376">
        <f t="shared" si="4"/>
        <v>0</v>
      </c>
      <c r="AT19" s="375">
        <f t="shared" si="25"/>
        <v>0.26</v>
      </c>
      <c r="AU19" s="372">
        <f t="shared" si="5"/>
        <v>0.607038803290193</v>
      </c>
      <c r="AV19" s="389">
        <f t="shared" si="6"/>
        <v>0.78</v>
      </c>
      <c r="AW19" s="372">
        <f t="shared" si="7"/>
        <v>0.69351940164509651</v>
      </c>
      <c r="AX19" s="8" t="s">
        <v>872</v>
      </c>
    </row>
    <row r="20" spans="1:52" ht="20.25" hidden="1" customHeight="1" x14ac:dyDescent="0.25">
      <c r="A20" s="513"/>
      <c r="B20" s="517"/>
      <c r="C20" s="261" t="str">
        <f>[1]Asignación!A19</f>
        <v>SF-PY5.3</v>
      </c>
      <c r="D20" s="259" t="str">
        <f>[1]Asignación!B19</f>
        <v>Creación de material educativo en formato digital.</v>
      </c>
      <c r="E20" s="261">
        <f>[1]Asignación!C19</f>
        <v>510</v>
      </c>
      <c r="F20" s="374" t="s">
        <v>72</v>
      </c>
      <c r="G20" s="374"/>
      <c r="H20" s="374"/>
      <c r="I20" s="5">
        <f>[1]SEGUIMIENTO!I25</f>
        <v>0</v>
      </c>
      <c r="J20" s="5"/>
      <c r="K20" s="6">
        <f t="shared" si="8"/>
        <v>0</v>
      </c>
      <c r="L20" s="368"/>
      <c r="M20" s="96">
        <f t="shared" si="9"/>
        <v>0</v>
      </c>
      <c r="N20" s="368"/>
      <c r="O20" s="96">
        <f t="shared" si="10"/>
        <v>0</v>
      </c>
      <c r="P20" s="368"/>
      <c r="Q20" s="96">
        <f t="shared" si="11"/>
        <v>0</v>
      </c>
      <c r="R20" s="375">
        <f t="shared" si="21"/>
        <v>0</v>
      </c>
      <c r="S20" s="389">
        <f t="shared" si="12"/>
        <v>0</v>
      </c>
      <c r="T20" s="390">
        <f t="shared" si="13"/>
        <v>0</v>
      </c>
      <c r="U20" s="372">
        <f t="shared" si="14"/>
        <v>0</v>
      </c>
      <c r="V20" s="7"/>
      <c r="W20" s="5">
        <v>0</v>
      </c>
      <c r="X20" s="5"/>
      <c r="Y20" s="6">
        <f t="shared" si="15"/>
        <v>0</v>
      </c>
      <c r="Z20" s="368"/>
      <c r="AA20" s="96">
        <f t="shared" si="22"/>
        <v>0</v>
      </c>
      <c r="AB20" s="368"/>
      <c r="AC20" s="96">
        <f t="shared" si="16"/>
        <v>0</v>
      </c>
      <c r="AD20" s="368"/>
      <c r="AE20" s="96">
        <f t="shared" si="17"/>
        <v>0</v>
      </c>
      <c r="AF20" s="375">
        <f t="shared" si="18"/>
        <v>0</v>
      </c>
      <c r="AG20" s="372">
        <f t="shared" si="19"/>
        <v>0</v>
      </c>
      <c r="AH20" s="389">
        <f t="shared" si="24"/>
        <v>0</v>
      </c>
      <c r="AI20" s="372">
        <f t="shared" si="1"/>
        <v>0</v>
      </c>
      <c r="AJ20" s="7"/>
      <c r="AK20" s="5">
        <v>0</v>
      </c>
      <c r="AL20" s="5"/>
      <c r="AM20" s="6">
        <f t="shared" si="20"/>
        <v>0</v>
      </c>
      <c r="AN20" s="368"/>
      <c r="AO20" s="376">
        <f t="shared" si="2"/>
        <v>0</v>
      </c>
      <c r="AP20" s="368"/>
      <c r="AQ20" s="376">
        <f t="shared" si="3"/>
        <v>0</v>
      </c>
      <c r="AR20" s="368"/>
      <c r="AS20" s="376">
        <f t="shared" si="4"/>
        <v>0</v>
      </c>
      <c r="AT20" s="375">
        <f t="shared" si="25"/>
        <v>0</v>
      </c>
      <c r="AU20" s="372">
        <f t="shared" si="5"/>
        <v>0</v>
      </c>
      <c r="AV20" s="389">
        <f t="shared" si="6"/>
        <v>0</v>
      </c>
      <c r="AW20" s="372">
        <f t="shared" si="7"/>
        <v>0</v>
      </c>
      <c r="AX20" s="7"/>
      <c r="AZ20" s="307">
        <v>0</v>
      </c>
    </row>
    <row r="21" spans="1:52" ht="26.25" customHeight="1" x14ac:dyDescent="0.25">
      <c r="A21" s="513"/>
      <c r="B21" s="524" t="s">
        <v>73</v>
      </c>
      <c r="C21" s="261" t="str">
        <f>[1]Asignación!A20</f>
        <v>SF-PY6.1</v>
      </c>
      <c r="D21" s="259" t="s">
        <v>857</v>
      </c>
      <c r="E21" s="261">
        <f>[1]Asignación!C20</f>
        <v>510</v>
      </c>
      <c r="F21" s="374" t="s">
        <v>31</v>
      </c>
      <c r="G21" s="374">
        <v>1</v>
      </c>
      <c r="H21" s="374" t="s">
        <v>856</v>
      </c>
      <c r="I21" s="5">
        <f>[1]SEGUIMIENTO!I26</f>
        <v>0</v>
      </c>
      <c r="J21" s="5">
        <v>0</v>
      </c>
      <c r="K21" s="6">
        <f t="shared" si="8"/>
        <v>0</v>
      </c>
      <c r="L21" s="368">
        <v>0</v>
      </c>
      <c r="M21" s="96">
        <f t="shared" si="9"/>
        <v>0</v>
      </c>
      <c r="N21" s="368">
        <v>0</v>
      </c>
      <c r="O21" s="96">
        <f t="shared" si="10"/>
        <v>0</v>
      </c>
      <c r="P21" s="368">
        <v>0</v>
      </c>
      <c r="Q21" s="96">
        <f t="shared" si="11"/>
        <v>0</v>
      </c>
      <c r="R21" s="375">
        <f t="shared" si="21"/>
        <v>0</v>
      </c>
      <c r="S21" s="389">
        <f t="shared" si="12"/>
        <v>0</v>
      </c>
      <c r="T21" s="390">
        <f t="shared" si="13"/>
        <v>0</v>
      </c>
      <c r="U21" s="372">
        <f t="shared" si="14"/>
        <v>0</v>
      </c>
      <c r="V21" s="386" t="s">
        <v>859</v>
      </c>
      <c r="W21" s="5">
        <v>6000000</v>
      </c>
      <c r="X21" s="5">
        <v>0</v>
      </c>
      <c r="Y21" s="6">
        <f t="shared" si="15"/>
        <v>6000000</v>
      </c>
      <c r="Z21" s="368"/>
      <c r="AA21" s="96">
        <f t="shared" si="22"/>
        <v>0</v>
      </c>
      <c r="AB21" s="368"/>
      <c r="AC21" s="96">
        <f t="shared" si="16"/>
        <v>0</v>
      </c>
      <c r="AD21" s="368"/>
      <c r="AE21" s="96">
        <f t="shared" si="17"/>
        <v>0</v>
      </c>
      <c r="AF21" s="375">
        <f t="shared" si="18"/>
        <v>0</v>
      </c>
      <c r="AG21" s="372">
        <f t="shared" si="19"/>
        <v>0</v>
      </c>
      <c r="AH21" s="389">
        <f t="shared" si="24"/>
        <v>0</v>
      </c>
      <c r="AI21" s="372">
        <f t="shared" si="1"/>
        <v>0</v>
      </c>
      <c r="AJ21" s="386" t="s">
        <v>859</v>
      </c>
      <c r="AK21" s="5">
        <v>6000000</v>
      </c>
      <c r="AL21" s="5">
        <v>0</v>
      </c>
      <c r="AM21" s="6">
        <f t="shared" si="20"/>
        <v>6000000</v>
      </c>
      <c r="AN21" s="368"/>
      <c r="AO21" s="376">
        <f t="shared" si="2"/>
        <v>0</v>
      </c>
      <c r="AP21" s="368">
        <v>0.5</v>
      </c>
      <c r="AQ21" s="376">
        <f t="shared" si="3"/>
        <v>0.5</v>
      </c>
      <c r="AR21" s="368"/>
      <c r="AS21" s="376">
        <f t="shared" si="4"/>
        <v>0</v>
      </c>
      <c r="AT21" s="375">
        <f t="shared" si="25"/>
        <v>0.5</v>
      </c>
      <c r="AU21" s="372">
        <f t="shared" si="5"/>
        <v>0</v>
      </c>
      <c r="AV21" s="389">
        <f t="shared" si="6"/>
        <v>0.5</v>
      </c>
      <c r="AW21" s="372">
        <f t="shared" si="7"/>
        <v>0.25</v>
      </c>
      <c r="AX21" s="11" t="s">
        <v>860</v>
      </c>
    </row>
    <row r="22" spans="1:52" ht="33.75" customHeight="1" x14ac:dyDescent="0.25">
      <c r="A22" s="513"/>
      <c r="B22" s="525"/>
      <c r="C22" s="261" t="str">
        <f>[1]Asignación!A21</f>
        <v>SF-PY6.2</v>
      </c>
      <c r="D22" s="392" t="s">
        <v>858</v>
      </c>
      <c r="E22" s="261">
        <f>[1]Asignación!C21</f>
        <v>510</v>
      </c>
      <c r="F22" s="374" t="s">
        <v>31</v>
      </c>
      <c r="G22" s="374">
        <v>1</v>
      </c>
      <c r="H22" s="370" t="s">
        <v>856</v>
      </c>
      <c r="I22" s="5">
        <v>0</v>
      </c>
      <c r="J22" s="5">
        <v>0</v>
      </c>
      <c r="K22" s="6">
        <v>0</v>
      </c>
      <c r="L22" s="368">
        <v>0</v>
      </c>
      <c r="M22" s="96">
        <f t="shared" si="9"/>
        <v>0</v>
      </c>
      <c r="N22" s="368">
        <v>0</v>
      </c>
      <c r="O22" s="96">
        <f t="shared" si="10"/>
        <v>0</v>
      </c>
      <c r="P22" s="368">
        <v>0</v>
      </c>
      <c r="Q22" s="96">
        <f t="shared" si="11"/>
        <v>0</v>
      </c>
      <c r="R22" s="375">
        <f t="shared" si="21"/>
        <v>0</v>
      </c>
      <c r="S22" s="372"/>
      <c r="T22" s="390">
        <f t="shared" si="13"/>
        <v>0</v>
      </c>
      <c r="U22" s="372"/>
      <c r="V22" s="386" t="s">
        <v>859</v>
      </c>
      <c r="W22" s="5">
        <v>2000000</v>
      </c>
      <c r="X22" s="5"/>
      <c r="Y22" s="6">
        <f t="shared" si="15"/>
        <v>2000000</v>
      </c>
      <c r="Z22" s="368"/>
      <c r="AA22" s="96">
        <f t="shared" si="22"/>
        <v>0</v>
      </c>
      <c r="AB22" s="368"/>
      <c r="AC22" s="96">
        <f t="shared" si="16"/>
        <v>0</v>
      </c>
      <c r="AD22" s="368"/>
      <c r="AE22" s="96">
        <f t="shared" si="17"/>
        <v>0</v>
      </c>
      <c r="AF22" s="375">
        <f t="shared" si="18"/>
        <v>0</v>
      </c>
      <c r="AG22" s="372">
        <f t="shared" si="19"/>
        <v>0</v>
      </c>
      <c r="AH22" s="389">
        <f t="shared" si="24"/>
        <v>0</v>
      </c>
      <c r="AI22" s="372">
        <f t="shared" si="1"/>
        <v>0</v>
      </c>
      <c r="AJ22" s="386" t="s">
        <v>859</v>
      </c>
      <c r="AK22" s="5">
        <v>2000000</v>
      </c>
      <c r="AL22" s="5">
        <v>0</v>
      </c>
      <c r="AM22" s="6">
        <f t="shared" si="20"/>
        <v>2000000</v>
      </c>
      <c r="AN22" s="368"/>
      <c r="AO22" s="376">
        <f t="shared" si="2"/>
        <v>0</v>
      </c>
      <c r="AP22" s="368">
        <v>0.5</v>
      </c>
      <c r="AQ22" s="376">
        <f t="shared" si="3"/>
        <v>0.5</v>
      </c>
      <c r="AR22" s="368"/>
      <c r="AS22" s="376">
        <f t="shared" si="4"/>
        <v>0</v>
      </c>
      <c r="AT22" s="375">
        <f t="shared" si="25"/>
        <v>0.5</v>
      </c>
      <c r="AU22" s="372">
        <f t="shared" si="5"/>
        <v>0</v>
      </c>
      <c r="AV22" s="389">
        <f t="shared" si="6"/>
        <v>0.5</v>
      </c>
      <c r="AW22" s="372">
        <f t="shared" si="7"/>
        <v>0.25</v>
      </c>
      <c r="AX22" s="11" t="s">
        <v>861</v>
      </c>
    </row>
    <row r="23" spans="1:52" ht="33" customHeight="1" x14ac:dyDescent="0.25">
      <c r="A23" s="513"/>
      <c r="B23" s="515" t="s">
        <v>76</v>
      </c>
      <c r="C23" s="257" t="str">
        <f>[1]Asignación!A22</f>
        <v>SF-PY7.1</v>
      </c>
      <c r="D23" s="259" t="str">
        <f>[1]Asignación!B22</f>
        <v>Portal Laboral, fortalecimiento del vínculo empresa-universidad-estado.</v>
      </c>
      <c r="E23" s="257">
        <f>[1]Asignación!C22</f>
        <v>510</v>
      </c>
      <c r="F23" s="374" t="s">
        <v>31</v>
      </c>
      <c r="G23" s="374">
        <v>8</v>
      </c>
      <c r="H23" s="518" t="s">
        <v>120</v>
      </c>
      <c r="I23" s="5">
        <f>[1]SEGUIMIENTO!I28</f>
        <v>12000000</v>
      </c>
      <c r="J23" s="5">
        <v>870000</v>
      </c>
      <c r="K23" s="6">
        <f t="shared" si="8"/>
        <v>11130000</v>
      </c>
      <c r="L23" s="368">
        <v>1</v>
      </c>
      <c r="M23" s="96">
        <f t="shared" si="9"/>
        <v>0.125</v>
      </c>
      <c r="N23" s="368">
        <v>0</v>
      </c>
      <c r="O23" s="96">
        <f t="shared" si="10"/>
        <v>0</v>
      </c>
      <c r="P23" s="368">
        <v>1.08</v>
      </c>
      <c r="Q23" s="96">
        <f t="shared" si="11"/>
        <v>0.13500000000000001</v>
      </c>
      <c r="R23" s="375">
        <f t="shared" si="21"/>
        <v>0.26</v>
      </c>
      <c r="S23" s="372">
        <v>7.0000000000000007E-2</v>
      </c>
      <c r="T23" s="390">
        <f t="shared" si="13"/>
        <v>0.26</v>
      </c>
      <c r="U23" s="372">
        <f t="shared" si="14"/>
        <v>0.16500000000000001</v>
      </c>
      <c r="V23" s="8" t="s">
        <v>447</v>
      </c>
      <c r="W23" s="5">
        <v>12000000</v>
      </c>
      <c r="X23" s="5">
        <v>12000000</v>
      </c>
      <c r="Y23" s="6">
        <f t="shared" si="15"/>
        <v>0</v>
      </c>
      <c r="Z23" s="368">
        <v>2.08</v>
      </c>
      <c r="AA23" s="96">
        <f t="shared" si="22"/>
        <v>0.26</v>
      </c>
      <c r="AB23" s="368">
        <v>0</v>
      </c>
      <c r="AC23" s="96">
        <f t="shared" si="16"/>
        <v>0</v>
      </c>
      <c r="AD23" s="368">
        <v>0</v>
      </c>
      <c r="AE23" s="96">
        <f t="shared" si="17"/>
        <v>0</v>
      </c>
      <c r="AF23" s="375">
        <f t="shared" si="18"/>
        <v>0.26</v>
      </c>
      <c r="AG23" s="372">
        <f t="shared" si="19"/>
        <v>1</v>
      </c>
      <c r="AH23" s="389">
        <f t="shared" si="24"/>
        <v>0.52</v>
      </c>
      <c r="AI23" s="372">
        <f t="shared" si="1"/>
        <v>0.76</v>
      </c>
      <c r="AJ23" s="8" t="s">
        <v>447</v>
      </c>
      <c r="AK23" s="5">
        <v>12000000</v>
      </c>
      <c r="AL23" s="5">
        <v>12000000</v>
      </c>
      <c r="AM23" s="6">
        <f t="shared" si="20"/>
        <v>0</v>
      </c>
      <c r="AN23" s="368">
        <v>2.08</v>
      </c>
      <c r="AO23" s="376">
        <f t="shared" si="2"/>
        <v>0.26</v>
      </c>
      <c r="AP23" s="368">
        <v>0</v>
      </c>
      <c r="AQ23" s="376">
        <f t="shared" si="3"/>
        <v>0</v>
      </c>
      <c r="AR23" s="368">
        <v>0</v>
      </c>
      <c r="AS23" s="376">
        <f t="shared" si="4"/>
        <v>0</v>
      </c>
      <c r="AT23" s="375">
        <f t="shared" si="25"/>
        <v>0.26</v>
      </c>
      <c r="AU23" s="372">
        <f t="shared" si="5"/>
        <v>1</v>
      </c>
      <c r="AV23" s="389">
        <f t="shared" si="6"/>
        <v>0.78</v>
      </c>
      <c r="AW23" s="372">
        <f t="shared" si="7"/>
        <v>0.89</v>
      </c>
      <c r="AX23" s="8" t="s">
        <v>875</v>
      </c>
    </row>
    <row r="24" spans="1:52" ht="42" customHeight="1" x14ac:dyDescent="0.25">
      <c r="A24" s="513"/>
      <c r="B24" s="516"/>
      <c r="C24" s="257" t="str">
        <f>[1]Asignación!A23</f>
        <v>SF-PY7.2</v>
      </c>
      <c r="D24" s="259" t="str">
        <f>[1]Asignación!B23</f>
        <v>Programa de Seguimiento a Graduados, Apoyo a procesos de educación continuada.</v>
      </c>
      <c r="E24" s="257">
        <f>[1]Asignación!C23</f>
        <v>510</v>
      </c>
      <c r="F24" s="374" t="s">
        <v>81</v>
      </c>
      <c r="G24" s="374">
        <v>8</v>
      </c>
      <c r="H24" s="519"/>
      <c r="I24" s="5">
        <f>[1]SEGUIMIENTO!I29</f>
        <v>73500000</v>
      </c>
      <c r="J24" s="5">
        <v>24660543</v>
      </c>
      <c r="K24" s="6">
        <f t="shared" si="8"/>
        <v>48839457</v>
      </c>
      <c r="L24" s="368">
        <v>1</v>
      </c>
      <c r="M24" s="96">
        <f t="shared" si="9"/>
        <v>0.125</v>
      </c>
      <c r="N24" s="368">
        <v>0</v>
      </c>
      <c r="O24" s="96">
        <f t="shared" si="10"/>
        <v>0</v>
      </c>
      <c r="P24" s="388">
        <v>1.08</v>
      </c>
      <c r="Q24" s="96">
        <f t="shared" si="11"/>
        <v>0.13500000000000001</v>
      </c>
      <c r="R24" s="375">
        <f t="shared" si="21"/>
        <v>0.26</v>
      </c>
      <c r="S24" s="372">
        <v>0.37</v>
      </c>
      <c r="T24" s="390">
        <f t="shared" si="13"/>
        <v>0.26</v>
      </c>
      <c r="U24" s="372">
        <f t="shared" si="14"/>
        <v>0.315</v>
      </c>
      <c r="V24" s="8" t="s">
        <v>448</v>
      </c>
      <c r="W24" s="5">
        <v>76500000</v>
      </c>
      <c r="X24" s="5">
        <v>71500000</v>
      </c>
      <c r="Y24" s="6">
        <f t="shared" si="15"/>
        <v>5000000</v>
      </c>
      <c r="Z24" s="368">
        <v>0</v>
      </c>
      <c r="AA24" s="96">
        <f t="shared" si="22"/>
        <v>0</v>
      </c>
      <c r="AB24" s="368">
        <v>2.08</v>
      </c>
      <c r="AC24" s="96">
        <f t="shared" si="16"/>
        <v>0.26</v>
      </c>
      <c r="AD24" s="368">
        <v>0</v>
      </c>
      <c r="AE24" s="96">
        <f t="shared" si="17"/>
        <v>0</v>
      </c>
      <c r="AF24" s="375">
        <f t="shared" si="18"/>
        <v>0.26</v>
      </c>
      <c r="AG24" s="372">
        <f t="shared" si="19"/>
        <v>0.934640522875817</v>
      </c>
      <c r="AH24" s="389">
        <f t="shared" si="24"/>
        <v>0.52</v>
      </c>
      <c r="AI24" s="372">
        <f t="shared" si="1"/>
        <v>0.72732026143790851</v>
      </c>
      <c r="AJ24" s="8" t="s">
        <v>448</v>
      </c>
      <c r="AK24" s="5">
        <v>76500000</v>
      </c>
      <c r="AL24" s="5">
        <v>71500000</v>
      </c>
      <c r="AM24" s="6">
        <f t="shared" si="20"/>
        <v>5000000</v>
      </c>
      <c r="AN24" s="368">
        <v>2.08</v>
      </c>
      <c r="AO24" s="376">
        <f t="shared" si="2"/>
        <v>0.26</v>
      </c>
      <c r="AP24" s="368">
        <v>0</v>
      </c>
      <c r="AQ24" s="376">
        <f t="shared" si="3"/>
        <v>0</v>
      </c>
      <c r="AR24" s="368">
        <v>0</v>
      </c>
      <c r="AS24" s="376">
        <f t="shared" si="4"/>
        <v>0</v>
      </c>
      <c r="AT24" s="375">
        <f t="shared" si="25"/>
        <v>0.26</v>
      </c>
      <c r="AU24" s="372">
        <f t="shared" si="5"/>
        <v>0.934640522875817</v>
      </c>
      <c r="AV24" s="389">
        <f t="shared" si="6"/>
        <v>0.78</v>
      </c>
      <c r="AW24" s="372">
        <f t="shared" si="7"/>
        <v>0.85732026143790852</v>
      </c>
      <c r="AX24" s="8" t="s">
        <v>873</v>
      </c>
    </row>
    <row r="25" spans="1:52" ht="39.75" customHeight="1" x14ac:dyDescent="0.25">
      <c r="A25" s="513"/>
      <c r="B25" s="517"/>
      <c r="C25" s="257" t="str">
        <f>[1]Asignación!A24</f>
        <v>SF-PY7.3</v>
      </c>
      <c r="D25" s="259" t="str">
        <f>[1]Asignación!B24</f>
        <v>Mejoramiento de la infraestructura tecnologica para el segumiento a egresados.</v>
      </c>
      <c r="E25" s="257">
        <f>[1]Asignación!C24</f>
        <v>510</v>
      </c>
      <c r="F25" s="370" t="s">
        <v>31</v>
      </c>
      <c r="G25" s="370">
        <v>8</v>
      </c>
      <c r="H25" s="520"/>
      <c r="I25" s="5">
        <f>[1]SEGUIMIENTO!I30</f>
        <v>20000000</v>
      </c>
      <c r="J25" s="371">
        <v>2550170</v>
      </c>
      <c r="K25" s="6">
        <f t="shared" si="8"/>
        <v>17449830</v>
      </c>
      <c r="L25" s="368">
        <v>1</v>
      </c>
      <c r="M25" s="96">
        <f t="shared" si="9"/>
        <v>0.125</v>
      </c>
      <c r="N25" s="368">
        <v>0</v>
      </c>
      <c r="O25" s="96">
        <f t="shared" si="10"/>
        <v>0</v>
      </c>
      <c r="P25" s="388">
        <v>1.08</v>
      </c>
      <c r="Q25" s="96">
        <f t="shared" si="11"/>
        <v>0.13500000000000001</v>
      </c>
      <c r="R25" s="375">
        <f t="shared" si="21"/>
        <v>0.26</v>
      </c>
      <c r="S25" s="372">
        <v>0.13</v>
      </c>
      <c r="T25" s="390">
        <f t="shared" si="13"/>
        <v>0.26</v>
      </c>
      <c r="U25" s="372">
        <f t="shared" si="14"/>
        <v>0.19500000000000001</v>
      </c>
      <c r="V25" s="8" t="s">
        <v>449</v>
      </c>
      <c r="W25" s="5">
        <v>20000000</v>
      </c>
      <c r="X25" s="371">
        <v>2550170</v>
      </c>
      <c r="Y25" s="6">
        <f t="shared" si="15"/>
        <v>17449830</v>
      </c>
      <c r="Z25" s="368">
        <v>0</v>
      </c>
      <c r="AA25" s="96">
        <f t="shared" si="22"/>
        <v>0</v>
      </c>
      <c r="AB25" s="368">
        <v>2.08</v>
      </c>
      <c r="AC25" s="96">
        <f t="shared" si="16"/>
        <v>0.26</v>
      </c>
      <c r="AD25" s="368">
        <v>0</v>
      </c>
      <c r="AE25" s="96">
        <f t="shared" si="17"/>
        <v>0</v>
      </c>
      <c r="AF25" s="375">
        <f t="shared" si="18"/>
        <v>0.26</v>
      </c>
      <c r="AG25" s="372">
        <f t="shared" si="19"/>
        <v>0.1275085</v>
      </c>
      <c r="AH25" s="389">
        <f>R25+AF25</f>
        <v>0.52</v>
      </c>
      <c r="AI25" s="372">
        <f t="shared" si="1"/>
        <v>0.32375425000000002</v>
      </c>
      <c r="AJ25" s="8" t="s">
        <v>449</v>
      </c>
      <c r="AK25" s="5">
        <v>20000000</v>
      </c>
      <c r="AL25" s="371">
        <v>2550170</v>
      </c>
      <c r="AM25" s="6">
        <f t="shared" si="20"/>
        <v>17449830</v>
      </c>
      <c r="AN25" s="368">
        <v>2.08</v>
      </c>
      <c r="AO25" s="376">
        <f t="shared" si="2"/>
        <v>0.26</v>
      </c>
      <c r="AP25" s="368">
        <v>0</v>
      </c>
      <c r="AQ25" s="376">
        <f t="shared" si="3"/>
        <v>0</v>
      </c>
      <c r="AR25" s="368">
        <v>0</v>
      </c>
      <c r="AS25" s="376">
        <f t="shared" si="4"/>
        <v>0</v>
      </c>
      <c r="AT25" s="375">
        <f t="shared" si="25"/>
        <v>0.26</v>
      </c>
      <c r="AU25" s="372">
        <f t="shared" si="5"/>
        <v>0.1275085</v>
      </c>
      <c r="AV25" s="389">
        <f t="shared" si="6"/>
        <v>0.78</v>
      </c>
      <c r="AW25" s="372">
        <f t="shared" si="7"/>
        <v>0.45375425000000003</v>
      </c>
      <c r="AX25" s="8" t="s">
        <v>874</v>
      </c>
    </row>
    <row r="26" spans="1:52" s="17" customFormat="1" ht="32.25" customHeight="1" x14ac:dyDescent="0.25">
      <c r="A26" s="514"/>
      <c r="B26" s="526" t="s">
        <v>84</v>
      </c>
      <c r="C26" s="526"/>
      <c r="D26" s="526"/>
      <c r="E26" s="526"/>
      <c r="F26" s="14"/>
      <c r="G26" s="222">
        <f>SUM(G4:G25)</f>
        <v>7045</v>
      </c>
      <c r="H26" s="14"/>
      <c r="I26" s="15">
        <f>SUM(I4:I25)</f>
        <v>1730258531</v>
      </c>
      <c r="J26" s="15">
        <f>SUM(J4:J25)</f>
        <v>356119684</v>
      </c>
      <c r="K26" s="15">
        <f>SUM(K4:K25)</f>
        <v>1374138847</v>
      </c>
      <c r="L26" s="222">
        <f>SUM(L4:L25)</f>
        <v>1017</v>
      </c>
      <c r="M26" s="222">
        <f>IFERROR((L26/G26),0)</f>
        <v>0.14435770049680624</v>
      </c>
      <c r="N26" s="222">
        <f>SUM(N4:N25)</f>
        <v>601.64</v>
      </c>
      <c r="O26" s="222">
        <f t="shared" ref="O26" si="26">IFERROR((N26/I26),0)</f>
        <v>3.4771682336528239E-7</v>
      </c>
      <c r="P26" s="222">
        <f>SUM(P4:P25)</f>
        <v>197.25000000000003</v>
      </c>
      <c r="Q26" s="222">
        <f>SUM(Q4:Q25)</f>
        <v>1.7009888357256779</v>
      </c>
      <c r="R26" s="222">
        <f t="shared" ref="R26" si="27">P26+N26+L26</f>
        <v>1815.8899999999999</v>
      </c>
      <c r="S26" s="372">
        <f>IFERROR((J26/I26),0)</f>
        <v>0.20581877079038657</v>
      </c>
      <c r="T26" s="390">
        <f t="shared" si="13"/>
        <v>1815.8899999999999</v>
      </c>
      <c r="U26" s="372">
        <f t="shared" si="14"/>
        <v>908.04790938539509</v>
      </c>
      <c r="V26" s="16"/>
      <c r="W26" s="15">
        <f>SUM(W4:W25)</f>
        <v>1816258531</v>
      </c>
      <c r="X26" s="15">
        <f>SUM(X4:X25)</f>
        <v>1383171102</v>
      </c>
      <c r="Y26" s="15">
        <f>SUM(Y4:Y25)</f>
        <v>433087429</v>
      </c>
      <c r="Z26" s="222">
        <f>SUM(Z4:Z25)</f>
        <v>1087.2799999999997</v>
      </c>
      <c r="AA26" s="222">
        <f>IFERROR((Z26/G26),0)</f>
        <v>0.15433356990773595</v>
      </c>
      <c r="AB26" s="222">
        <f>SUM(AB4:AB25)</f>
        <v>554.46</v>
      </c>
      <c r="AC26" s="222">
        <f t="shared" ref="AC26:AE26" si="28">IFERROR((AB26/W26),0)</f>
        <v>3.0527592329860889E-7</v>
      </c>
      <c r="AD26" s="222">
        <f>SUM(AD4:AD25)</f>
        <v>159.91000000000003</v>
      </c>
      <c r="AE26" s="222">
        <f t="shared" si="28"/>
        <v>3.6923260591800743E-7</v>
      </c>
      <c r="AF26" s="375">
        <f t="shared" si="18"/>
        <v>0.15433424441626514</v>
      </c>
      <c r="AG26" s="372">
        <f t="shared" si="19"/>
        <v>0.7615496794051948</v>
      </c>
      <c r="AH26" s="389">
        <f t="shared" si="24"/>
        <v>1816.0443342444162</v>
      </c>
      <c r="AI26" s="372">
        <f t="shared" si="1"/>
        <v>908.40294196191064</v>
      </c>
      <c r="AJ26" s="16"/>
      <c r="AK26" s="15">
        <f>SUM(AK4:AK25)</f>
        <v>1816258531</v>
      </c>
      <c r="AL26" s="15">
        <f>SUM(AL4:AL25)</f>
        <v>1502640987</v>
      </c>
      <c r="AM26" s="15">
        <f>SUM(AM4:AM25)</f>
        <v>313617544</v>
      </c>
      <c r="AN26" s="222">
        <f>SUM(AN4:AN25)</f>
        <v>648.44000000000017</v>
      </c>
      <c r="AO26" s="376">
        <f t="shared" si="2"/>
        <v>9.2042583392476951E-2</v>
      </c>
      <c r="AP26" s="222">
        <f>SUM(AP4:AP25)</f>
        <v>544</v>
      </c>
      <c r="AQ26" s="376">
        <f t="shared" si="3"/>
        <v>7.721788502484031E-2</v>
      </c>
      <c r="AR26" s="222">
        <f>SUM(AR4:AR25)</f>
        <v>597.09</v>
      </c>
      <c r="AS26" s="376">
        <f t="shared" si="4"/>
        <v>8.475372604684174E-2</v>
      </c>
      <c r="AT26" s="375">
        <f t="shared" si="25"/>
        <v>0.25401419446415902</v>
      </c>
      <c r="AU26" s="372">
        <f t="shared" si="5"/>
        <v>0.82732769666478723</v>
      </c>
      <c r="AV26" s="389">
        <f t="shared" si="6"/>
        <v>1816.2983484388803</v>
      </c>
      <c r="AW26" s="372">
        <f t="shared" si="7"/>
        <v>908.56283806777253</v>
      </c>
      <c r="AX26" s="16"/>
      <c r="AZ26" s="387"/>
    </row>
    <row r="27" spans="1:52" x14ac:dyDescent="0.25">
      <c r="I27" s="67">
        <f>[1]SEGUIMIENTO!I31-'S. FORMACION '!I26</f>
        <v>0</v>
      </c>
      <c r="J27" s="67">
        <f>[1]SEGUIMIENTO!J31-'S. FORMACION '!J26</f>
        <v>0</v>
      </c>
      <c r="K27" s="67">
        <f>[1]SEGUIMIENTO!K31-'S. FORMACION '!K26</f>
        <v>0</v>
      </c>
      <c r="W27" s="67">
        <f>[1]SEGUIMIENTO!W31-'S. FORMACION '!W26</f>
        <v>0</v>
      </c>
      <c r="X27" s="67">
        <f>[1]SEGUIMIENTO!X31-'S. FORMACION '!X26</f>
        <v>0</v>
      </c>
      <c r="Y27" s="67">
        <f>[1]SEGUIMIENTO!Y31-'S. FORMACION '!Y26</f>
        <v>0</v>
      </c>
      <c r="AH27" s="373"/>
      <c r="AK27" s="67">
        <f>[1]SEGUIMIENTO!AK31-'S. FORMACION '!AK26</f>
        <v>-1816258531</v>
      </c>
      <c r="AL27" s="67">
        <f>[1]SEGUIMIENTO!AL31-'S. FORMACION '!AL26</f>
        <v>-1502640987</v>
      </c>
      <c r="AM27" s="67">
        <f>[1]SEGUIMIENTO!AM31-'S. FORMACION '!AM26</f>
        <v>-313617544</v>
      </c>
      <c r="AV27" s="373"/>
    </row>
    <row r="28" spans="1:52" x14ac:dyDescent="0.25">
      <c r="A28" t="s">
        <v>450</v>
      </c>
      <c r="H28" t="s">
        <v>831</v>
      </c>
      <c r="I28" s="67">
        <f>I26-'[1]Ejecución $'!B61</f>
        <v>0</v>
      </c>
      <c r="J28" s="67">
        <f>J26-'[1]Ejecución $'!C61</f>
        <v>0</v>
      </c>
      <c r="K28" s="67">
        <f>K26-'[1]Ejecución $'!D61</f>
        <v>0</v>
      </c>
    </row>
  </sheetData>
  <mergeCells count="63">
    <mergeCell ref="AU1:AU2"/>
    <mergeCell ref="AV1:AV2"/>
    <mergeCell ref="AW1:AW2"/>
    <mergeCell ref="AX1:AX3"/>
    <mergeCell ref="AN2:AO2"/>
    <mergeCell ref="AP2:AQ2"/>
    <mergeCell ref="AR2:AS2"/>
    <mergeCell ref="AU3:AW3"/>
    <mergeCell ref="AT1:AT3"/>
    <mergeCell ref="AJ1:AJ3"/>
    <mergeCell ref="F2:F3"/>
    <mergeCell ref="G2:G3"/>
    <mergeCell ref="W1:W2"/>
    <mergeCell ref="X1:X2"/>
    <mergeCell ref="Y1:Y2"/>
    <mergeCell ref="Z1:AE1"/>
    <mergeCell ref="AF1:AF3"/>
    <mergeCell ref="AG1:AG2"/>
    <mergeCell ref="Z2:AA2"/>
    <mergeCell ref="AB2:AC2"/>
    <mergeCell ref="AD2:AE2"/>
    <mergeCell ref="AG3:AI3"/>
    <mergeCell ref="AH1:AH2"/>
    <mergeCell ref="AI1:AI2"/>
    <mergeCell ref="W3:Y3"/>
    <mergeCell ref="AK1:AK2"/>
    <mergeCell ref="AL1:AL2"/>
    <mergeCell ref="AM1:AM2"/>
    <mergeCell ref="AN1:AS1"/>
    <mergeCell ref="AK3:AM3"/>
    <mergeCell ref="A4:A26"/>
    <mergeCell ref="B4:B6"/>
    <mergeCell ref="H4:H6"/>
    <mergeCell ref="B8:B12"/>
    <mergeCell ref="B13:B17"/>
    <mergeCell ref="B18:B20"/>
    <mergeCell ref="B21:B22"/>
    <mergeCell ref="B23:B25"/>
    <mergeCell ref="H23:H25"/>
    <mergeCell ref="B26:E26"/>
    <mergeCell ref="V1:V3"/>
    <mergeCell ref="L2:M2"/>
    <mergeCell ref="N2:O2"/>
    <mergeCell ref="P2:Q2"/>
    <mergeCell ref="S3:U3"/>
    <mergeCell ref="L1:Q1"/>
    <mergeCell ref="R1:R3"/>
    <mergeCell ref="S1:S2"/>
    <mergeCell ref="T1:T2"/>
    <mergeCell ref="U1:U2"/>
    <mergeCell ref="K1:K2"/>
    <mergeCell ref="H2:H3"/>
    <mergeCell ref="I3:K3"/>
    <mergeCell ref="A1:B1"/>
    <mergeCell ref="C1:E1"/>
    <mergeCell ref="F1:H1"/>
    <mergeCell ref="I1:I2"/>
    <mergeCell ref="J1:J2"/>
    <mergeCell ref="A2:A3"/>
    <mergeCell ref="B2:B3"/>
    <mergeCell ref="C2:C3"/>
    <mergeCell ref="D2:D3"/>
    <mergeCell ref="E2:E3"/>
  </mergeCells>
  <conditionalFormatting sqref="AH27">
    <cfRule type="cellIs" dxfId="881" priority="37" operator="greaterThan">
      <formula>50%</formula>
    </cfRule>
    <cfRule type="cellIs" dxfId="880" priority="38" operator="between">
      <formula>37%</formula>
      <formula>50%</formula>
    </cfRule>
    <cfRule type="cellIs" dxfId="879" priority="39" operator="between">
      <formula>16%</formula>
      <formula>37%</formula>
    </cfRule>
    <cfRule type="cellIs" dxfId="878" priority="40" operator="lessThan">
      <formula>16%</formula>
    </cfRule>
  </conditionalFormatting>
  <conditionalFormatting sqref="U4">
    <cfRule type="cellIs" dxfId="877" priority="33" operator="greaterThan">
      <formula>24%</formula>
    </cfRule>
    <cfRule type="cellIs" dxfId="876" priority="34" operator="between">
      <formula>19.1%</formula>
      <formula>24%</formula>
    </cfRule>
    <cfRule type="cellIs" dxfId="875" priority="35" operator="between">
      <formula>9%</formula>
      <formula>19%</formula>
    </cfRule>
    <cfRule type="cellIs" dxfId="874" priority="36" operator="lessThan">
      <formula>9%</formula>
    </cfRule>
  </conditionalFormatting>
  <conditionalFormatting sqref="S4:T4 S5:S21 T5:T26">
    <cfRule type="cellIs" dxfId="873" priority="29" operator="greaterThan">
      <formula>24%</formula>
    </cfRule>
    <cfRule type="cellIs" dxfId="872" priority="30" operator="between">
      <formula>19.1%</formula>
      <formula>24%</formula>
    </cfRule>
    <cfRule type="cellIs" dxfId="871" priority="31" operator="between">
      <formula>9%</formula>
      <formula>19%</formula>
    </cfRule>
    <cfRule type="cellIs" dxfId="870" priority="32" operator="lessThan">
      <formula>9%</formula>
    </cfRule>
  </conditionalFormatting>
  <conditionalFormatting sqref="U5:U26">
    <cfRule type="cellIs" dxfId="869" priority="25" operator="greaterThan">
      <formula>24%</formula>
    </cfRule>
    <cfRule type="cellIs" dxfId="868" priority="26" operator="between">
      <formula>19.1%</formula>
      <formula>24%</formula>
    </cfRule>
    <cfRule type="cellIs" dxfId="867" priority="27" operator="between">
      <formula>9%</formula>
      <formula>19%</formula>
    </cfRule>
    <cfRule type="cellIs" dxfId="866" priority="28" operator="lessThan">
      <formula>9%</formula>
    </cfRule>
  </conditionalFormatting>
  <conditionalFormatting sqref="S22:S26">
    <cfRule type="cellIs" dxfId="865" priority="21" operator="greaterThan">
      <formula>24%</formula>
    </cfRule>
    <cfRule type="cellIs" dxfId="864" priority="22" operator="between">
      <formula>19.1%</formula>
      <formula>24%</formula>
    </cfRule>
    <cfRule type="cellIs" dxfId="863" priority="23" operator="between">
      <formula>9%</formula>
      <formula>19%</formula>
    </cfRule>
    <cfRule type="cellIs" dxfId="862" priority="24" operator="lessThan">
      <formula>9%</formula>
    </cfRule>
  </conditionalFormatting>
  <conditionalFormatting sqref="AG4:AI4 AG5:AH26">
    <cfRule type="cellIs" dxfId="861" priority="17" operator="greaterThan">
      <formula>50%</formula>
    </cfRule>
    <cfRule type="cellIs" dxfId="860" priority="18" operator="between">
      <formula>37.1%</formula>
      <formula>50%</formula>
    </cfRule>
    <cfRule type="cellIs" dxfId="859" priority="19" operator="between">
      <formula>16%</formula>
      <formula>37%</formula>
    </cfRule>
    <cfRule type="cellIs" dxfId="858" priority="20" operator="lessThan">
      <formula>16%</formula>
    </cfRule>
  </conditionalFormatting>
  <conditionalFormatting sqref="AI5:AI26">
    <cfRule type="cellIs" dxfId="857" priority="13" operator="greaterThan">
      <formula>50%</formula>
    </cfRule>
    <cfRule type="cellIs" dxfId="856" priority="14" operator="between">
      <formula>37.1%</formula>
      <formula>50%</formula>
    </cfRule>
    <cfRule type="cellIs" dxfId="855" priority="15" operator="between">
      <formula>16%</formula>
      <formula>37%</formula>
    </cfRule>
    <cfRule type="cellIs" dxfId="854" priority="16" operator="lessThan">
      <formula>16%</formula>
    </cfRule>
  </conditionalFormatting>
  <conditionalFormatting sqref="AV27">
    <cfRule type="cellIs" dxfId="853" priority="9" operator="greaterThan">
      <formula>50%</formula>
    </cfRule>
    <cfRule type="cellIs" dxfId="852" priority="10" operator="between">
      <formula>37%</formula>
      <formula>50%</formula>
    </cfRule>
    <cfRule type="cellIs" dxfId="851" priority="11" operator="between">
      <formula>16%</formula>
      <formula>37%</formula>
    </cfRule>
    <cfRule type="cellIs" dxfId="850" priority="12" operator="lessThan">
      <formula>16%</formula>
    </cfRule>
  </conditionalFormatting>
  <conditionalFormatting sqref="AU4:AW4 AU5:AV26">
    <cfRule type="cellIs" dxfId="849" priority="5" operator="greaterThan">
      <formula>50%</formula>
    </cfRule>
    <cfRule type="cellIs" dxfId="848" priority="6" operator="between">
      <formula>37.1%</formula>
      <formula>50%</formula>
    </cfRule>
    <cfRule type="cellIs" dxfId="847" priority="7" operator="between">
      <formula>16%</formula>
      <formula>37%</formula>
    </cfRule>
    <cfRule type="cellIs" dxfId="846" priority="8" operator="lessThan">
      <formula>16%</formula>
    </cfRule>
  </conditionalFormatting>
  <conditionalFormatting sqref="AW5:AW26">
    <cfRule type="cellIs" dxfId="845" priority="1" operator="greaterThan">
      <formula>50%</formula>
    </cfRule>
    <cfRule type="cellIs" dxfId="844" priority="2" operator="between">
      <formula>37.1%</formula>
      <formula>50%</formula>
    </cfRule>
    <cfRule type="cellIs" dxfId="843" priority="3" operator="between">
      <formula>16%</formula>
      <formula>37%</formula>
    </cfRule>
    <cfRule type="cellIs" dxfId="842" priority="4" operator="lessThan">
      <formula>16%</formula>
    </cfRule>
  </conditionalFormatting>
  <printOptions horizontalCentered="1" verticalCentered="1"/>
  <pageMargins left="0.35433070866141736" right="0.27559055118110237" top="0.9055118110236221" bottom="0.47244094488188981" header="0.59055118110236227" footer="0.27559055118110237"/>
  <pageSetup scale="65"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AX42"/>
  <sheetViews>
    <sheetView showGridLines="0" zoomScale="90" zoomScaleNormal="90" zoomScalePageLayoutView="50" workbookViewId="0">
      <pane xSplit="3" ySplit="3" topLeftCell="AN4" activePane="bottomRight" state="frozen"/>
      <selection sqref="A1:A3"/>
      <selection pane="topRight" sqref="A1:A3"/>
      <selection pane="bottomLeft" sqref="A1:A3"/>
      <selection pane="bottomRight" activeCell="S5" sqref="S5"/>
    </sheetView>
  </sheetViews>
  <sheetFormatPr baseColWidth="10" defaultRowHeight="15" x14ac:dyDescent="0.25"/>
  <cols>
    <col min="1" max="1" width="11" customWidth="1"/>
    <col min="2" max="2" width="23" customWidth="1"/>
    <col min="3" max="3" width="8.85546875" customWidth="1"/>
    <col min="4" max="4" width="51.42578125" customWidth="1"/>
    <col min="5" max="5" width="6.28515625" customWidth="1"/>
    <col min="6" max="8" width="14.28515625" customWidth="1"/>
    <col min="9" max="9" width="17.28515625" hidden="1" customWidth="1"/>
    <col min="10" max="10" width="16.28515625" hidden="1" customWidth="1"/>
    <col min="11" max="11" width="5.42578125" hidden="1" customWidth="1"/>
    <col min="12" max="15" width="11.42578125" hidden="1" customWidth="1"/>
    <col min="16" max="16" width="4.28515625" hidden="1" customWidth="1"/>
    <col min="17" max="17" width="8.7109375" hidden="1" customWidth="1"/>
    <col min="18" max="18" width="18.5703125" hidden="1" customWidth="1"/>
    <col min="19" max="19" width="11.85546875" hidden="1" customWidth="1"/>
    <col min="20" max="20" width="10" hidden="1" customWidth="1"/>
    <col min="21" max="21" width="13.85546875" hidden="1" customWidth="1"/>
    <col min="22" max="22" width="155" hidden="1" customWidth="1"/>
    <col min="23" max="23" width="26.5703125" hidden="1" customWidth="1"/>
    <col min="24" max="24" width="20.140625" hidden="1" customWidth="1"/>
    <col min="25" max="25" width="11.85546875" hidden="1" customWidth="1"/>
    <col min="26" max="26" width="4.28515625" hidden="1" customWidth="1"/>
    <col min="27" max="27" width="10" hidden="1" customWidth="1"/>
    <col min="28" max="28" width="4.28515625" hidden="1" customWidth="1"/>
    <col min="29" max="29" width="8.7109375" hidden="1" customWidth="1"/>
    <col min="30" max="30" width="6.85546875" hidden="1" customWidth="1"/>
    <col min="31" max="31" width="10" hidden="1" customWidth="1"/>
    <col min="32" max="32" width="18.5703125" hidden="1" customWidth="1"/>
    <col min="33" max="34" width="11.42578125" hidden="1" customWidth="1"/>
    <col min="35" max="35" width="13.140625" hidden="1" customWidth="1"/>
    <col min="36" max="36" width="85.28515625" hidden="1" customWidth="1"/>
    <col min="37" max="37" width="17.28515625" customWidth="1"/>
    <col min="38" max="38" width="16.28515625" customWidth="1"/>
    <col min="39" max="39" width="14.28515625" customWidth="1"/>
    <col min="40" max="46" width="11.42578125" customWidth="1"/>
    <col min="49" max="49" width="13.140625" customWidth="1"/>
    <col min="50" max="50" width="85.28515625" customWidth="1"/>
  </cols>
  <sheetData>
    <row r="1" spans="1:50" ht="15" customHeight="1" x14ac:dyDescent="0.25">
      <c r="A1" s="481" t="s">
        <v>410</v>
      </c>
      <c r="B1" s="482"/>
      <c r="C1" s="483" t="s">
        <v>407</v>
      </c>
      <c r="D1" s="484"/>
      <c r="E1" s="485"/>
      <c r="F1" s="486"/>
      <c r="G1" s="487"/>
      <c r="H1" s="488"/>
      <c r="I1" s="489" t="s">
        <v>0</v>
      </c>
      <c r="J1" s="475" t="s">
        <v>1</v>
      </c>
      <c r="K1" s="475" t="s">
        <v>2</v>
      </c>
      <c r="L1" s="529" t="s">
        <v>3</v>
      </c>
      <c r="M1" s="529"/>
      <c r="N1" s="529"/>
      <c r="O1" s="529"/>
      <c r="P1" s="529"/>
      <c r="Q1" s="529"/>
      <c r="R1" s="529" t="s">
        <v>4</v>
      </c>
      <c r="S1" s="530" t="s">
        <v>5</v>
      </c>
      <c r="T1" s="531" t="s">
        <v>6</v>
      </c>
      <c r="U1" s="530" t="s">
        <v>7</v>
      </c>
      <c r="V1" s="532" t="s">
        <v>8</v>
      </c>
      <c r="W1" s="489" t="s">
        <v>0</v>
      </c>
      <c r="X1" s="475" t="s">
        <v>1</v>
      </c>
      <c r="Y1" s="475" t="s">
        <v>2</v>
      </c>
      <c r="Z1" s="529" t="s">
        <v>3</v>
      </c>
      <c r="AA1" s="529"/>
      <c r="AB1" s="529"/>
      <c r="AC1" s="529"/>
      <c r="AD1" s="529"/>
      <c r="AE1" s="529"/>
      <c r="AF1" s="529" t="s">
        <v>4</v>
      </c>
      <c r="AG1" s="530" t="s">
        <v>5</v>
      </c>
      <c r="AH1" s="531" t="s">
        <v>6</v>
      </c>
      <c r="AI1" s="530" t="s">
        <v>7</v>
      </c>
      <c r="AJ1" s="532" t="s">
        <v>8</v>
      </c>
      <c r="AK1" s="489" t="s">
        <v>0</v>
      </c>
      <c r="AL1" s="475" t="s">
        <v>1</v>
      </c>
      <c r="AM1" s="475" t="s">
        <v>2</v>
      </c>
      <c r="AN1" s="529" t="s">
        <v>3</v>
      </c>
      <c r="AO1" s="529"/>
      <c r="AP1" s="529"/>
      <c r="AQ1" s="529"/>
      <c r="AR1" s="529"/>
      <c r="AS1" s="529"/>
      <c r="AT1" s="529" t="s">
        <v>4</v>
      </c>
      <c r="AU1" s="530" t="s">
        <v>5</v>
      </c>
      <c r="AV1" s="531" t="s">
        <v>6</v>
      </c>
      <c r="AW1" s="530" t="s">
        <v>7</v>
      </c>
      <c r="AX1" s="532" t="s">
        <v>8</v>
      </c>
    </row>
    <row r="2" spans="1:50" ht="28.5" customHeight="1" x14ac:dyDescent="0.25">
      <c r="A2" s="491" t="s">
        <v>9</v>
      </c>
      <c r="B2" s="491" t="s">
        <v>10</v>
      </c>
      <c r="C2" s="492" t="s">
        <v>11</v>
      </c>
      <c r="D2" s="491" t="s">
        <v>12</v>
      </c>
      <c r="E2" s="494" t="s">
        <v>13</v>
      </c>
      <c r="F2" s="476" t="s">
        <v>14</v>
      </c>
      <c r="G2" s="476" t="s">
        <v>15</v>
      </c>
      <c r="H2" s="476" t="s">
        <v>16</v>
      </c>
      <c r="I2" s="490"/>
      <c r="J2" s="475"/>
      <c r="K2" s="475"/>
      <c r="L2" s="529" t="s">
        <v>734</v>
      </c>
      <c r="M2" s="529"/>
      <c r="N2" s="529" t="s">
        <v>803</v>
      </c>
      <c r="O2" s="529"/>
      <c r="P2" s="529" t="s">
        <v>736</v>
      </c>
      <c r="Q2" s="529"/>
      <c r="R2" s="529"/>
      <c r="S2" s="530"/>
      <c r="T2" s="531"/>
      <c r="U2" s="530"/>
      <c r="V2" s="532"/>
      <c r="W2" s="490"/>
      <c r="X2" s="475"/>
      <c r="Y2" s="475"/>
      <c r="Z2" s="529" t="s">
        <v>395</v>
      </c>
      <c r="AA2" s="529"/>
      <c r="AB2" s="529" t="s">
        <v>393</v>
      </c>
      <c r="AC2" s="529"/>
      <c r="AD2" s="529" t="s">
        <v>394</v>
      </c>
      <c r="AE2" s="529"/>
      <c r="AF2" s="529"/>
      <c r="AG2" s="530"/>
      <c r="AH2" s="531"/>
      <c r="AI2" s="530"/>
      <c r="AJ2" s="532"/>
      <c r="AK2" s="490"/>
      <c r="AL2" s="475"/>
      <c r="AM2" s="475"/>
      <c r="AN2" s="529" t="s">
        <v>838</v>
      </c>
      <c r="AO2" s="529"/>
      <c r="AP2" s="529" t="s">
        <v>839</v>
      </c>
      <c r="AQ2" s="529"/>
      <c r="AR2" s="529" t="s">
        <v>840</v>
      </c>
      <c r="AS2" s="529"/>
      <c r="AT2" s="529"/>
      <c r="AU2" s="530"/>
      <c r="AV2" s="531"/>
      <c r="AW2" s="530"/>
      <c r="AX2" s="532"/>
    </row>
    <row r="3" spans="1:50" ht="23.25" customHeight="1" x14ac:dyDescent="0.25">
      <c r="A3" s="491"/>
      <c r="B3" s="491"/>
      <c r="C3" s="493"/>
      <c r="D3" s="491"/>
      <c r="E3" s="495"/>
      <c r="F3" s="477"/>
      <c r="G3" s="477"/>
      <c r="H3" s="477"/>
      <c r="I3" s="478" t="s">
        <v>17</v>
      </c>
      <c r="J3" s="479"/>
      <c r="K3" s="480"/>
      <c r="L3" s="394" t="s">
        <v>18</v>
      </c>
      <c r="M3" s="394" t="s">
        <v>19</v>
      </c>
      <c r="N3" s="394" t="s">
        <v>18</v>
      </c>
      <c r="O3" s="394" t="s">
        <v>19</v>
      </c>
      <c r="P3" s="394" t="s">
        <v>18</v>
      </c>
      <c r="Q3" s="394" t="s">
        <v>19</v>
      </c>
      <c r="R3" s="529"/>
      <c r="S3" s="533" t="s">
        <v>20</v>
      </c>
      <c r="T3" s="533"/>
      <c r="U3" s="533"/>
      <c r="V3" s="532"/>
      <c r="W3" s="478" t="s">
        <v>17</v>
      </c>
      <c r="X3" s="479"/>
      <c r="Y3" s="480"/>
      <c r="Z3" s="394" t="s">
        <v>18</v>
      </c>
      <c r="AA3" s="394" t="s">
        <v>19</v>
      </c>
      <c r="AB3" s="394" t="s">
        <v>18</v>
      </c>
      <c r="AC3" s="394" t="s">
        <v>19</v>
      </c>
      <c r="AD3" s="394" t="s">
        <v>18</v>
      </c>
      <c r="AE3" s="394" t="s">
        <v>19</v>
      </c>
      <c r="AF3" s="529"/>
      <c r="AG3" s="533" t="s">
        <v>20</v>
      </c>
      <c r="AH3" s="533"/>
      <c r="AI3" s="533"/>
      <c r="AJ3" s="532"/>
      <c r="AK3" s="478" t="s">
        <v>17</v>
      </c>
      <c r="AL3" s="479"/>
      <c r="AM3" s="480"/>
      <c r="AN3" s="394" t="s">
        <v>18</v>
      </c>
      <c r="AO3" s="394" t="s">
        <v>19</v>
      </c>
      <c r="AP3" s="394" t="s">
        <v>18</v>
      </c>
      <c r="AQ3" s="394" t="s">
        <v>19</v>
      </c>
      <c r="AR3" s="394" t="s">
        <v>18</v>
      </c>
      <c r="AS3" s="394" t="s">
        <v>19</v>
      </c>
      <c r="AT3" s="529"/>
      <c r="AU3" s="533" t="s">
        <v>20</v>
      </c>
      <c r="AV3" s="533"/>
      <c r="AW3" s="533"/>
      <c r="AX3" s="532"/>
    </row>
    <row r="4" spans="1:50" ht="69.75" customHeight="1" x14ac:dyDescent="0.25">
      <c r="A4" s="538" t="s">
        <v>207</v>
      </c>
      <c r="B4" s="541" t="s">
        <v>208</v>
      </c>
      <c r="C4" s="26" t="str">
        <f>[2]SEGUIMIENTO!C70</f>
        <v>SP-PY1.1</v>
      </c>
      <c r="D4" s="259" t="str">
        <f>[2]SEGUIMIENTO!D70</f>
        <v>Apoyo a la movilidad académica de docentes, estudiantes y personal administrativo y expertos invitados.</v>
      </c>
      <c r="E4" s="26">
        <f>[2]SEGUIMIENTO!E70</f>
        <v>520</v>
      </c>
      <c r="F4" s="425" t="s">
        <v>211</v>
      </c>
      <c r="G4" s="425">
        <v>219</v>
      </c>
      <c r="H4" s="425" t="s">
        <v>897</v>
      </c>
      <c r="I4" s="5">
        <v>162000000</v>
      </c>
      <c r="J4" s="5">
        <v>57886200</v>
      </c>
      <c r="K4" s="6">
        <f>I4-J4</f>
        <v>104113800</v>
      </c>
      <c r="L4" s="393">
        <v>6</v>
      </c>
      <c r="M4" s="96">
        <f>IFERROR((L4/G4),0)</f>
        <v>2.7397260273972601E-2</v>
      </c>
      <c r="N4" s="393">
        <v>11</v>
      </c>
      <c r="O4" s="96">
        <f>IFERROR((N4/G4),0)</f>
        <v>5.0228310502283102E-2</v>
      </c>
      <c r="P4" s="393">
        <v>13</v>
      </c>
      <c r="Q4" s="96">
        <f>IFERROR((P4/G4),0)</f>
        <v>5.9360730593607303E-2</v>
      </c>
      <c r="R4" s="393">
        <f>L4+N4+P4</f>
        <v>30</v>
      </c>
      <c r="S4" s="411">
        <f>IFERROR((J4/I4),0)</f>
        <v>0.35732222222222221</v>
      </c>
      <c r="T4" s="411">
        <f>IFERROR((R4/G4),0)</f>
        <v>0.13698630136986301</v>
      </c>
      <c r="U4" s="411">
        <f>(S4+T4)/2</f>
        <v>0.24715426179604261</v>
      </c>
      <c r="V4" s="32" t="s">
        <v>898</v>
      </c>
      <c r="W4" s="5">
        <v>175000000</v>
      </c>
      <c r="X4" s="5">
        <v>128226411</v>
      </c>
      <c r="Y4" s="6">
        <f>W4-X4</f>
        <v>46773589</v>
      </c>
      <c r="Z4" s="393">
        <v>5</v>
      </c>
      <c r="AA4" s="96">
        <f>IFERROR((Z4/G4),0)</f>
        <v>2.2831050228310501E-2</v>
      </c>
      <c r="AB4" s="393">
        <v>15</v>
      </c>
      <c r="AC4" s="96">
        <f>IFERROR((AB4/G4),0)</f>
        <v>6.8493150684931503E-2</v>
      </c>
      <c r="AD4" s="393">
        <v>2</v>
      </c>
      <c r="AE4" s="96">
        <f>IFERROR((AD4/G4),0)</f>
        <v>9.1324200913242004E-3</v>
      </c>
      <c r="AF4" s="393">
        <f>Z4+AB4+AD4</f>
        <v>22</v>
      </c>
      <c r="AG4" s="411">
        <f>IFERROR((X4/W4),0)</f>
        <v>0.73272234857142859</v>
      </c>
      <c r="AH4" s="411">
        <f>IFERROR((AF4/G4),0)</f>
        <v>0.1004566210045662</v>
      </c>
      <c r="AI4" s="411">
        <f>(AG4+AH4)/2</f>
        <v>0.4165894847879974</v>
      </c>
      <c r="AJ4" s="431" t="s">
        <v>899</v>
      </c>
      <c r="AK4" s="5">
        <v>175000000</v>
      </c>
      <c r="AL4" s="5">
        <v>147801431</v>
      </c>
      <c r="AM4" s="6">
        <f>AK4-AL4</f>
        <v>27198569</v>
      </c>
      <c r="AN4" s="393">
        <v>112</v>
      </c>
      <c r="AO4" s="96">
        <f>IFERROR((AN4/G4),0)</f>
        <v>0.51141552511415522</v>
      </c>
      <c r="AP4" s="393">
        <v>6</v>
      </c>
      <c r="AQ4" s="96">
        <f>IFERROR((AP4/G4),0)</f>
        <v>2.7397260273972601E-2</v>
      </c>
      <c r="AR4" s="393">
        <v>8</v>
      </c>
      <c r="AS4" s="96">
        <f>IFERROR((AR4/G4),0)</f>
        <v>3.6529680365296802E-2</v>
      </c>
      <c r="AT4" s="393">
        <f>AN4+AP4+AR4</f>
        <v>126</v>
      </c>
      <c r="AU4" s="428">
        <f>IFERROR((AL4/AK4),0)</f>
        <v>0.8445796057142857</v>
      </c>
      <c r="AV4" s="428">
        <f>IFERROR((AT4/G4),0)</f>
        <v>0.57534246575342463</v>
      </c>
      <c r="AW4" s="428">
        <f>(AU4+AV4)/2</f>
        <v>0.70996103573385516</v>
      </c>
      <c r="AX4" s="431" t="s">
        <v>900</v>
      </c>
    </row>
    <row r="5" spans="1:50" ht="114" x14ac:dyDescent="0.25">
      <c r="A5" s="539"/>
      <c r="B5" s="542"/>
      <c r="C5" s="26" t="str">
        <f>[2]SEGUIMIENTO!C71</f>
        <v>SP-PY1.2</v>
      </c>
      <c r="D5" s="259" t="str">
        <f>[2]SEGUIMIENTO!D71</f>
        <v>Apoyo a la internacionalización de la investigación y la proyección social.</v>
      </c>
      <c r="E5" s="26">
        <f>[2]SEGUIMIENTO!E71</f>
        <v>520</v>
      </c>
      <c r="F5" s="33" t="s">
        <v>214</v>
      </c>
      <c r="G5" s="33">
        <v>7</v>
      </c>
      <c r="H5" s="33" t="s">
        <v>215</v>
      </c>
      <c r="I5" s="5">
        <v>7000000</v>
      </c>
      <c r="J5" s="5">
        <v>0</v>
      </c>
      <c r="K5" s="6">
        <f t="shared" ref="K5:K35" si="0">I5-J5</f>
        <v>7000000</v>
      </c>
      <c r="L5" s="393">
        <v>0</v>
      </c>
      <c r="M5" s="96">
        <f t="shared" ref="M5:M35" si="1">IFERROR((L5/G5),0)</f>
        <v>0</v>
      </c>
      <c r="N5" s="393">
        <v>0</v>
      </c>
      <c r="O5" s="96">
        <f t="shared" ref="O5:O35" si="2">IFERROR((N5/G5),0)</f>
        <v>0</v>
      </c>
      <c r="P5" s="393">
        <v>0</v>
      </c>
      <c r="Q5" s="96">
        <f t="shared" ref="Q5:Q35" si="3">IFERROR((P5/G5),0)</f>
        <v>0</v>
      </c>
      <c r="R5" s="393">
        <f t="shared" ref="R5:R35" si="4">L5+N5+P5</f>
        <v>0</v>
      </c>
      <c r="S5" s="411">
        <f t="shared" ref="S5:S35" si="5">IFERROR((J5/I5),0)</f>
        <v>0</v>
      </c>
      <c r="T5" s="411">
        <f t="shared" ref="T5:T35" si="6">IFERROR((R5/G5),0)</f>
        <v>0</v>
      </c>
      <c r="U5" s="411">
        <f t="shared" ref="U5:U35" si="7">(S5+T5)/2</f>
        <v>0</v>
      </c>
      <c r="V5" s="32" t="s">
        <v>901</v>
      </c>
      <c r="W5" s="5">
        <v>0</v>
      </c>
      <c r="X5" s="5">
        <v>0</v>
      </c>
      <c r="Y5" s="6">
        <f t="shared" ref="Y5:Y16" si="8">W5-X5</f>
        <v>0</v>
      </c>
      <c r="Z5" s="393">
        <v>0</v>
      </c>
      <c r="AA5" s="96">
        <f t="shared" ref="AA5:AA35" si="9">IFERROR((Z5/G5),0)</f>
        <v>0</v>
      </c>
      <c r="AB5" s="393">
        <v>0</v>
      </c>
      <c r="AC5" s="96">
        <f t="shared" ref="AC5:AC35" si="10">IFERROR((AB5/G5),0)</f>
        <v>0</v>
      </c>
      <c r="AD5" s="393">
        <v>0</v>
      </c>
      <c r="AE5" s="96">
        <f t="shared" ref="AE5:AE35" si="11">IFERROR((AD5/G5),0)</f>
        <v>0</v>
      </c>
      <c r="AF5" s="393">
        <f t="shared" ref="AF5:AF35" si="12">Z5+AB5+AD5</f>
        <v>0</v>
      </c>
      <c r="AG5" s="411">
        <f t="shared" ref="AG5:AG36" si="13">IFERROR((X5/W5),0)</f>
        <v>0</v>
      </c>
      <c r="AH5" s="411">
        <f t="shared" ref="AH5:AH35" si="14">IFERROR((AF5/G5),0)</f>
        <v>0</v>
      </c>
      <c r="AI5" s="411">
        <f t="shared" ref="AI5:AI36" si="15">(AG5+AH5)/2</f>
        <v>0</v>
      </c>
      <c r="AJ5" s="431" t="s">
        <v>451</v>
      </c>
      <c r="AK5" s="5">
        <v>0</v>
      </c>
      <c r="AL5" s="5">
        <v>0</v>
      </c>
      <c r="AM5" s="6">
        <f t="shared" ref="AM5:AM16" si="16">AK5-AL5</f>
        <v>0</v>
      </c>
      <c r="AN5" s="393">
        <v>2</v>
      </c>
      <c r="AO5" s="96">
        <f t="shared" ref="AO5:AO35" si="17">IFERROR((AN5/G5),0)</f>
        <v>0.2857142857142857</v>
      </c>
      <c r="AP5" s="393">
        <v>3</v>
      </c>
      <c r="AQ5" s="96">
        <f t="shared" ref="AQ5:AQ35" si="18">IFERROR((AP5/G5),0)</f>
        <v>0.42857142857142855</v>
      </c>
      <c r="AR5" s="393">
        <v>2</v>
      </c>
      <c r="AS5" s="96">
        <f t="shared" ref="AS5:AS35" si="19">IFERROR((AR5/G5),0)</f>
        <v>0.2857142857142857</v>
      </c>
      <c r="AT5" s="393">
        <f t="shared" ref="AT5:AT35" si="20">AN5+AP5+AR5</f>
        <v>7</v>
      </c>
      <c r="AU5" s="428">
        <f t="shared" ref="AU5:AU35" si="21">IFERROR((AL5/AK5),0)</f>
        <v>0</v>
      </c>
      <c r="AV5" s="428">
        <f t="shared" ref="AV5:AV35" si="22">IFERROR((AT5/G5),0)</f>
        <v>1</v>
      </c>
      <c r="AW5" s="428">
        <f t="shared" ref="AW5:AW35" si="23">(AU5+AV5)/2</f>
        <v>0.5</v>
      </c>
      <c r="AX5" s="431" t="s">
        <v>902</v>
      </c>
    </row>
    <row r="6" spans="1:50" ht="47.25" customHeight="1" x14ac:dyDescent="0.25">
      <c r="A6" s="539"/>
      <c r="B6" s="543"/>
      <c r="C6" s="26" t="str">
        <f>[2]SEGUIMIENTO!C72</f>
        <v>SP-PY1.3</v>
      </c>
      <c r="D6" s="259" t="str">
        <f>[2]SEGUIMIENTO!D72</f>
        <v>Apoyo a los procesos y fortalecimiento de alianzas académico-administrativas entre la Universidad y organismos públicos y privados.</v>
      </c>
      <c r="E6" s="26">
        <f>[2]SEGUIMIENTO!E72</f>
        <v>520</v>
      </c>
      <c r="F6" s="425" t="s">
        <v>72</v>
      </c>
      <c r="G6" s="425">
        <v>2</v>
      </c>
      <c r="H6" s="425" t="s">
        <v>218</v>
      </c>
      <c r="I6" s="5">
        <v>2000000</v>
      </c>
      <c r="J6" s="5">
        <v>0</v>
      </c>
      <c r="K6" s="6">
        <f t="shared" si="0"/>
        <v>2000000</v>
      </c>
      <c r="L6" s="393">
        <v>0</v>
      </c>
      <c r="M6" s="96">
        <f t="shared" si="1"/>
        <v>0</v>
      </c>
      <c r="N6" s="393">
        <v>0</v>
      </c>
      <c r="O6" s="96">
        <f t="shared" si="2"/>
        <v>0</v>
      </c>
      <c r="P6" s="393">
        <v>0</v>
      </c>
      <c r="Q6" s="96">
        <f t="shared" si="3"/>
        <v>0</v>
      </c>
      <c r="R6" s="393">
        <f t="shared" si="4"/>
        <v>0</v>
      </c>
      <c r="S6" s="411">
        <f t="shared" si="5"/>
        <v>0</v>
      </c>
      <c r="T6" s="411">
        <f t="shared" si="6"/>
        <v>0</v>
      </c>
      <c r="U6" s="411">
        <f t="shared" si="7"/>
        <v>0</v>
      </c>
      <c r="V6" s="34" t="s">
        <v>903</v>
      </c>
      <c r="W6" s="5">
        <v>6000000</v>
      </c>
      <c r="X6" s="5">
        <v>700000</v>
      </c>
      <c r="Y6" s="6">
        <f t="shared" si="8"/>
        <v>5300000</v>
      </c>
      <c r="Z6" s="393">
        <v>1</v>
      </c>
      <c r="AA6" s="96">
        <f t="shared" si="9"/>
        <v>0.5</v>
      </c>
      <c r="AB6" s="393">
        <v>0</v>
      </c>
      <c r="AC6" s="96">
        <f t="shared" si="10"/>
        <v>0</v>
      </c>
      <c r="AD6" s="393">
        <v>0</v>
      </c>
      <c r="AE6" s="96">
        <f t="shared" si="11"/>
        <v>0</v>
      </c>
      <c r="AF6" s="393">
        <f t="shared" si="12"/>
        <v>1</v>
      </c>
      <c r="AG6" s="411">
        <f t="shared" si="13"/>
        <v>0.11666666666666667</v>
      </c>
      <c r="AH6" s="411">
        <f t="shared" si="14"/>
        <v>0.5</v>
      </c>
      <c r="AI6" s="411">
        <f t="shared" si="15"/>
        <v>0.30833333333333335</v>
      </c>
      <c r="AJ6" s="432" t="s">
        <v>452</v>
      </c>
      <c r="AK6" s="5">
        <v>6000000</v>
      </c>
      <c r="AL6" s="5">
        <v>700000</v>
      </c>
      <c r="AM6" s="6">
        <f t="shared" si="16"/>
        <v>5300000</v>
      </c>
      <c r="AN6" s="393">
        <v>0</v>
      </c>
      <c r="AO6" s="96">
        <f t="shared" si="17"/>
        <v>0</v>
      </c>
      <c r="AP6" s="393">
        <v>0</v>
      </c>
      <c r="AQ6" s="96">
        <f t="shared" si="18"/>
        <v>0</v>
      </c>
      <c r="AR6" s="393">
        <v>0</v>
      </c>
      <c r="AS6" s="96">
        <f t="shared" si="19"/>
        <v>0</v>
      </c>
      <c r="AT6" s="393">
        <f t="shared" si="20"/>
        <v>0</v>
      </c>
      <c r="AU6" s="428">
        <f t="shared" si="21"/>
        <v>0.11666666666666667</v>
      </c>
      <c r="AV6" s="428">
        <f t="shared" si="22"/>
        <v>0</v>
      </c>
      <c r="AW6" s="428">
        <f t="shared" si="23"/>
        <v>5.8333333333333334E-2</v>
      </c>
      <c r="AX6" s="432" t="s">
        <v>904</v>
      </c>
    </row>
    <row r="7" spans="1:50" ht="77.25" customHeight="1" x14ac:dyDescent="0.25">
      <c r="A7" s="539"/>
      <c r="B7" s="423" t="s">
        <v>219</v>
      </c>
      <c r="C7" s="26" t="str">
        <f>[2]SEGUIMIENTO!C73</f>
        <v>SP-PY2.1</v>
      </c>
      <c r="D7" s="259" t="str">
        <f>[2]SEGUIMIENTO!D73</f>
        <v>Apoyo y gestión en acciones, proyectos y eventos para regionalización.</v>
      </c>
      <c r="E7" s="26">
        <f>[2]SEGUIMIENTO!E73</f>
        <v>520</v>
      </c>
      <c r="F7" s="425" t="s">
        <v>222</v>
      </c>
      <c r="G7" s="425">
        <v>1</v>
      </c>
      <c r="H7" s="425" t="s">
        <v>905</v>
      </c>
      <c r="I7" s="5">
        <v>34826876</v>
      </c>
      <c r="J7" s="5">
        <v>22563666</v>
      </c>
      <c r="K7" s="6">
        <f t="shared" si="0"/>
        <v>12263210</v>
      </c>
      <c r="L7" s="393">
        <v>0</v>
      </c>
      <c r="M7" s="96">
        <f t="shared" si="1"/>
        <v>0</v>
      </c>
      <c r="N7" s="393">
        <v>0</v>
      </c>
      <c r="O7" s="96">
        <f t="shared" si="2"/>
        <v>0</v>
      </c>
      <c r="P7" s="393">
        <v>0</v>
      </c>
      <c r="Q7" s="96">
        <f t="shared" si="3"/>
        <v>0</v>
      </c>
      <c r="R7" s="393">
        <f t="shared" si="4"/>
        <v>0</v>
      </c>
      <c r="S7" s="411">
        <f t="shared" si="5"/>
        <v>0.64788084926135781</v>
      </c>
      <c r="T7" s="411">
        <f t="shared" si="6"/>
        <v>0</v>
      </c>
      <c r="U7" s="411">
        <f t="shared" si="7"/>
        <v>0.3239404246306789</v>
      </c>
      <c r="V7" s="32" t="s">
        <v>906</v>
      </c>
      <c r="W7" s="5">
        <v>70000000</v>
      </c>
      <c r="X7" s="5">
        <v>30768091</v>
      </c>
      <c r="Y7" s="6">
        <f t="shared" si="8"/>
        <v>39231909</v>
      </c>
      <c r="Z7" s="393">
        <v>0</v>
      </c>
      <c r="AA7" s="96">
        <f t="shared" si="9"/>
        <v>0</v>
      </c>
      <c r="AB7" s="393">
        <v>0</v>
      </c>
      <c r="AC7" s="96">
        <f t="shared" si="10"/>
        <v>0</v>
      </c>
      <c r="AD7" s="393">
        <v>0.5</v>
      </c>
      <c r="AE7" s="96">
        <f t="shared" si="11"/>
        <v>0.5</v>
      </c>
      <c r="AF7" s="393">
        <f t="shared" si="12"/>
        <v>0.5</v>
      </c>
      <c r="AG7" s="411">
        <f t="shared" si="13"/>
        <v>0.43954415714285716</v>
      </c>
      <c r="AH7" s="411">
        <f t="shared" si="14"/>
        <v>0.5</v>
      </c>
      <c r="AI7" s="411">
        <f t="shared" si="15"/>
        <v>0.46977207857142855</v>
      </c>
      <c r="AJ7" s="431" t="s">
        <v>907</v>
      </c>
      <c r="AK7" s="5">
        <v>70000000</v>
      </c>
      <c r="AL7" s="5">
        <v>46954858</v>
      </c>
      <c r="AM7" s="6">
        <f t="shared" si="16"/>
        <v>23045142</v>
      </c>
      <c r="AN7" s="393">
        <v>0.08</v>
      </c>
      <c r="AO7" s="96">
        <f t="shared" si="17"/>
        <v>0.08</v>
      </c>
      <c r="AP7" s="393">
        <v>0.08</v>
      </c>
      <c r="AQ7" s="96">
        <f t="shared" si="18"/>
        <v>0.08</v>
      </c>
      <c r="AR7" s="393">
        <v>0.09</v>
      </c>
      <c r="AS7" s="96">
        <f t="shared" si="19"/>
        <v>0.09</v>
      </c>
      <c r="AT7" s="393">
        <f t="shared" si="20"/>
        <v>0.25</v>
      </c>
      <c r="AU7" s="428">
        <f t="shared" si="21"/>
        <v>0.6707836857142857</v>
      </c>
      <c r="AV7" s="428">
        <f t="shared" si="22"/>
        <v>0.25</v>
      </c>
      <c r="AW7" s="428">
        <f t="shared" si="23"/>
        <v>0.46039184285714285</v>
      </c>
      <c r="AX7" s="431" t="s">
        <v>908</v>
      </c>
    </row>
    <row r="8" spans="1:50" ht="142.5" x14ac:dyDescent="0.25">
      <c r="A8" s="539"/>
      <c r="B8" s="541" t="s">
        <v>223</v>
      </c>
      <c r="C8" s="26" t="str">
        <f>[2]SEGUIMIENTO!C74</f>
        <v>SP-PY3.1</v>
      </c>
      <c r="D8" s="259" t="str">
        <f>[2]SEGUIMIENTO!D74</f>
        <v>Macroproyectos de Proyección social cofinanciados por la Universidad Surcolombiana.</v>
      </c>
      <c r="E8" s="26">
        <f>[2]SEGUIMIENTO!E74</f>
        <v>520</v>
      </c>
      <c r="F8" s="425" t="s">
        <v>89</v>
      </c>
      <c r="G8" s="425">
        <v>5</v>
      </c>
      <c r="H8" s="425" t="s">
        <v>226</v>
      </c>
      <c r="I8" s="5">
        <v>130000000</v>
      </c>
      <c r="J8" s="5">
        <v>0</v>
      </c>
      <c r="K8" s="6">
        <f t="shared" si="0"/>
        <v>130000000</v>
      </c>
      <c r="L8" s="393">
        <v>0</v>
      </c>
      <c r="M8" s="96">
        <f t="shared" si="1"/>
        <v>0</v>
      </c>
      <c r="N8" s="393">
        <v>0</v>
      </c>
      <c r="O8" s="96">
        <f t="shared" si="2"/>
        <v>0</v>
      </c>
      <c r="P8" s="393">
        <v>2</v>
      </c>
      <c r="Q8" s="96">
        <f t="shared" si="3"/>
        <v>0.4</v>
      </c>
      <c r="R8" s="393">
        <f t="shared" si="4"/>
        <v>2</v>
      </c>
      <c r="S8" s="411">
        <f t="shared" si="5"/>
        <v>0</v>
      </c>
      <c r="T8" s="411">
        <f t="shared" si="6"/>
        <v>0.4</v>
      </c>
      <c r="U8" s="411">
        <f t="shared" si="7"/>
        <v>0.2</v>
      </c>
      <c r="V8" s="32" t="s">
        <v>453</v>
      </c>
      <c r="W8" s="5">
        <v>20000000</v>
      </c>
      <c r="X8" s="5">
        <v>10974436</v>
      </c>
      <c r="Y8" s="6">
        <f t="shared" si="8"/>
        <v>9025564</v>
      </c>
      <c r="Z8" s="393">
        <v>0</v>
      </c>
      <c r="AA8" s="96">
        <f t="shared" si="9"/>
        <v>0</v>
      </c>
      <c r="AB8" s="393">
        <v>0</v>
      </c>
      <c r="AC8" s="96">
        <f t="shared" si="10"/>
        <v>0</v>
      </c>
      <c r="AD8" s="393">
        <v>0</v>
      </c>
      <c r="AE8" s="96">
        <f t="shared" si="11"/>
        <v>0</v>
      </c>
      <c r="AF8" s="393">
        <f t="shared" si="12"/>
        <v>0</v>
      </c>
      <c r="AG8" s="411">
        <f t="shared" si="13"/>
        <v>0.54872180000000004</v>
      </c>
      <c r="AH8" s="411">
        <f t="shared" si="14"/>
        <v>0</v>
      </c>
      <c r="AI8" s="411">
        <f t="shared" si="15"/>
        <v>0.27436090000000002</v>
      </c>
      <c r="AJ8" s="431" t="s">
        <v>453</v>
      </c>
      <c r="AK8" s="5">
        <v>20000000</v>
      </c>
      <c r="AL8" s="5">
        <v>14152872</v>
      </c>
      <c r="AM8" s="6">
        <f t="shared" si="16"/>
        <v>5847128</v>
      </c>
      <c r="AN8" s="393">
        <v>0</v>
      </c>
      <c r="AO8" s="96">
        <f t="shared" si="17"/>
        <v>0</v>
      </c>
      <c r="AP8" s="393">
        <v>0</v>
      </c>
      <c r="AQ8" s="96">
        <f t="shared" si="18"/>
        <v>0</v>
      </c>
      <c r="AR8" s="393">
        <v>1</v>
      </c>
      <c r="AS8" s="96">
        <f t="shared" si="19"/>
        <v>0.2</v>
      </c>
      <c r="AT8" s="393">
        <f t="shared" si="20"/>
        <v>1</v>
      </c>
      <c r="AU8" s="428">
        <f t="shared" si="21"/>
        <v>0.70764360000000004</v>
      </c>
      <c r="AV8" s="428">
        <f t="shared" si="22"/>
        <v>0.2</v>
      </c>
      <c r="AW8" s="428">
        <f t="shared" si="23"/>
        <v>0.45382180000000005</v>
      </c>
      <c r="AX8" s="431" t="s">
        <v>909</v>
      </c>
    </row>
    <row r="9" spans="1:50" ht="28.5" x14ac:dyDescent="0.25">
      <c r="A9" s="539"/>
      <c r="B9" s="542"/>
      <c r="C9" s="26" t="str">
        <f>[2]SEGUIMIENTO!C75</f>
        <v>SP-PY3.2</v>
      </c>
      <c r="D9" s="259" t="str">
        <f>[2]SEGUIMIENTO!D75</f>
        <v>Proyectos solidarios de menor cuantía cofinanciados  por la Universidad Surcolombiana.</v>
      </c>
      <c r="E9" s="26">
        <f>[2]SEGUIMIENTO!E75</f>
        <v>520</v>
      </c>
      <c r="F9" s="425" t="s">
        <v>89</v>
      </c>
      <c r="G9" s="425">
        <v>20</v>
      </c>
      <c r="H9" s="425" t="s">
        <v>910</v>
      </c>
      <c r="I9" s="5">
        <v>1018432040</v>
      </c>
      <c r="J9" s="5">
        <v>0</v>
      </c>
      <c r="K9" s="6">
        <f t="shared" si="0"/>
        <v>1018432040</v>
      </c>
      <c r="L9" s="393">
        <v>0</v>
      </c>
      <c r="M9" s="96">
        <f t="shared" si="1"/>
        <v>0</v>
      </c>
      <c r="N9" s="393">
        <v>0</v>
      </c>
      <c r="O9" s="96">
        <f t="shared" si="2"/>
        <v>0</v>
      </c>
      <c r="P9" s="393">
        <v>0</v>
      </c>
      <c r="Q9" s="96">
        <f t="shared" si="3"/>
        <v>0</v>
      </c>
      <c r="R9" s="393">
        <f t="shared" si="4"/>
        <v>0</v>
      </c>
      <c r="S9" s="411">
        <f t="shared" si="5"/>
        <v>0</v>
      </c>
      <c r="T9" s="411">
        <f t="shared" si="6"/>
        <v>0</v>
      </c>
      <c r="U9" s="411">
        <f t="shared" si="7"/>
        <v>0</v>
      </c>
      <c r="V9" s="431" t="s">
        <v>470</v>
      </c>
      <c r="W9" s="5">
        <v>1030432040</v>
      </c>
      <c r="X9" s="5">
        <v>778849252</v>
      </c>
      <c r="Y9" s="6">
        <f t="shared" si="8"/>
        <v>251582788</v>
      </c>
      <c r="Z9" s="393">
        <v>0</v>
      </c>
      <c r="AA9" s="96">
        <f t="shared" si="9"/>
        <v>0</v>
      </c>
      <c r="AB9" s="393">
        <v>1</v>
      </c>
      <c r="AC9" s="96">
        <f t="shared" si="10"/>
        <v>0.05</v>
      </c>
      <c r="AD9" s="393">
        <v>0</v>
      </c>
      <c r="AE9" s="96">
        <f t="shared" si="11"/>
        <v>0</v>
      </c>
      <c r="AF9" s="393">
        <f t="shared" si="12"/>
        <v>1</v>
      </c>
      <c r="AG9" s="411">
        <f t="shared" si="13"/>
        <v>0.75584727741967339</v>
      </c>
      <c r="AH9" s="411">
        <f t="shared" si="14"/>
        <v>0.05</v>
      </c>
      <c r="AI9" s="411">
        <f t="shared" si="15"/>
        <v>0.40292363870983672</v>
      </c>
      <c r="AJ9" s="431" t="s">
        <v>911</v>
      </c>
      <c r="AK9" s="5">
        <v>1030432040</v>
      </c>
      <c r="AL9" s="5">
        <v>778137681</v>
      </c>
      <c r="AM9" s="6">
        <f t="shared" si="16"/>
        <v>252294359</v>
      </c>
      <c r="AN9" s="393">
        <v>0</v>
      </c>
      <c r="AO9" s="96">
        <f t="shared" si="17"/>
        <v>0</v>
      </c>
      <c r="AP9" s="393">
        <v>0</v>
      </c>
      <c r="AQ9" s="96">
        <f t="shared" si="18"/>
        <v>0</v>
      </c>
      <c r="AR9" s="393">
        <v>1</v>
      </c>
      <c r="AS9" s="96">
        <f t="shared" si="19"/>
        <v>0.05</v>
      </c>
      <c r="AT9" s="393">
        <f t="shared" si="20"/>
        <v>1</v>
      </c>
      <c r="AU9" s="428">
        <f t="shared" si="21"/>
        <v>0.75515672144666623</v>
      </c>
      <c r="AV9" s="428">
        <f t="shared" si="22"/>
        <v>0.05</v>
      </c>
      <c r="AW9" s="428">
        <f t="shared" si="23"/>
        <v>0.40257836072333314</v>
      </c>
      <c r="AX9" s="431" t="s">
        <v>912</v>
      </c>
    </row>
    <row r="10" spans="1:50" ht="51.75" customHeight="1" x14ac:dyDescent="0.25">
      <c r="A10" s="539"/>
      <c r="B10" s="542"/>
      <c r="C10" s="26" t="str">
        <f>[2]SEGUIMIENTO!C76</f>
        <v>SP-PY3.3</v>
      </c>
      <c r="D10" s="259" t="str">
        <f>[2]SEGUIMIENTO!D76</f>
        <v>Apoyo logístico a proyectos  de Responsabilidad Social Universitaria.</v>
      </c>
      <c r="E10" s="26">
        <f>[2]SEGUIMIENTO!E76</f>
        <v>520</v>
      </c>
      <c r="F10" s="425" t="s">
        <v>231</v>
      </c>
      <c r="G10" s="425">
        <v>43</v>
      </c>
      <c r="H10" s="425" t="s">
        <v>232</v>
      </c>
      <c r="I10" s="5">
        <v>94000000</v>
      </c>
      <c r="J10" s="5">
        <v>12071384</v>
      </c>
      <c r="K10" s="6">
        <f t="shared" si="0"/>
        <v>81928616</v>
      </c>
      <c r="L10" s="393">
        <v>7</v>
      </c>
      <c r="M10" s="96">
        <f t="shared" si="1"/>
        <v>0.16279069767441862</v>
      </c>
      <c r="N10" s="393">
        <v>0</v>
      </c>
      <c r="O10" s="96">
        <f t="shared" si="2"/>
        <v>0</v>
      </c>
      <c r="P10" s="393">
        <v>0</v>
      </c>
      <c r="Q10" s="96">
        <f t="shared" si="3"/>
        <v>0</v>
      </c>
      <c r="R10" s="393">
        <f t="shared" si="4"/>
        <v>7</v>
      </c>
      <c r="S10" s="411">
        <f t="shared" si="5"/>
        <v>0.12841897872340424</v>
      </c>
      <c r="T10" s="411">
        <f t="shared" si="6"/>
        <v>0.16279069767441862</v>
      </c>
      <c r="U10" s="411">
        <f t="shared" si="7"/>
        <v>0.14560483819891143</v>
      </c>
      <c r="V10" s="431" t="s">
        <v>913</v>
      </c>
      <c r="W10" s="5">
        <v>205000000</v>
      </c>
      <c r="X10" s="5">
        <v>61245934</v>
      </c>
      <c r="Y10" s="6">
        <f t="shared" si="8"/>
        <v>143754066</v>
      </c>
      <c r="Z10" s="393">
        <v>27</v>
      </c>
      <c r="AA10" s="96">
        <f t="shared" si="9"/>
        <v>0.62790697674418605</v>
      </c>
      <c r="AB10" s="393">
        <v>8</v>
      </c>
      <c r="AC10" s="96">
        <f t="shared" si="10"/>
        <v>0.18604651162790697</v>
      </c>
      <c r="AD10" s="393">
        <v>3</v>
      </c>
      <c r="AE10" s="96">
        <f t="shared" si="11"/>
        <v>6.9767441860465115E-2</v>
      </c>
      <c r="AF10" s="393">
        <f t="shared" si="12"/>
        <v>38</v>
      </c>
      <c r="AG10" s="411">
        <f t="shared" si="13"/>
        <v>0.2987606536585366</v>
      </c>
      <c r="AH10" s="411">
        <f t="shared" si="14"/>
        <v>0.88372093023255816</v>
      </c>
      <c r="AI10" s="411">
        <f t="shared" si="15"/>
        <v>0.59124079194554735</v>
      </c>
      <c r="AJ10" s="431" t="s">
        <v>454</v>
      </c>
      <c r="AK10" s="5">
        <v>205000000</v>
      </c>
      <c r="AL10" s="5">
        <v>144285499</v>
      </c>
      <c r="AM10" s="6">
        <f t="shared" si="16"/>
        <v>60714501</v>
      </c>
      <c r="AN10" s="393">
        <v>3</v>
      </c>
      <c r="AO10" s="96">
        <f t="shared" si="17"/>
        <v>6.9767441860465115E-2</v>
      </c>
      <c r="AP10" s="393">
        <v>3</v>
      </c>
      <c r="AQ10" s="96">
        <f t="shared" si="18"/>
        <v>6.9767441860465115E-2</v>
      </c>
      <c r="AR10" s="393">
        <v>3</v>
      </c>
      <c r="AS10" s="96">
        <f t="shared" si="19"/>
        <v>6.9767441860465115E-2</v>
      </c>
      <c r="AT10" s="393">
        <f t="shared" si="20"/>
        <v>9</v>
      </c>
      <c r="AU10" s="428">
        <f t="shared" si="21"/>
        <v>0.70383170243902438</v>
      </c>
      <c r="AV10" s="428">
        <f t="shared" si="22"/>
        <v>0.20930232558139536</v>
      </c>
      <c r="AW10" s="428">
        <f t="shared" si="23"/>
        <v>0.45656701401020988</v>
      </c>
      <c r="AX10" s="431" t="s">
        <v>914</v>
      </c>
    </row>
    <row r="11" spans="1:50" ht="87" customHeight="1" x14ac:dyDescent="0.25">
      <c r="A11" s="539"/>
      <c r="B11" s="542"/>
      <c r="C11" s="26" t="str">
        <f>[2]SEGUIMIENTO!C77</f>
        <v>SP-PY3.4</v>
      </c>
      <c r="D11" s="259" t="str">
        <f>[2]SEGUIMIENTO!D77</f>
        <v>Apoyos a la realización y participación en  eventos de proyección social.</v>
      </c>
      <c r="E11" s="26">
        <f>[2]SEGUIMIENTO!E77</f>
        <v>520</v>
      </c>
      <c r="F11" s="425" t="s">
        <v>89</v>
      </c>
      <c r="G11" s="425">
        <v>19</v>
      </c>
      <c r="H11" s="425" t="s">
        <v>915</v>
      </c>
      <c r="I11" s="5">
        <v>10000000</v>
      </c>
      <c r="J11" s="5">
        <v>5000000</v>
      </c>
      <c r="K11" s="6">
        <f t="shared" si="0"/>
        <v>5000000</v>
      </c>
      <c r="L11" s="393">
        <v>0</v>
      </c>
      <c r="M11" s="96">
        <f t="shared" si="1"/>
        <v>0</v>
      </c>
      <c r="N11" s="393">
        <v>0</v>
      </c>
      <c r="O11" s="96">
        <f t="shared" si="2"/>
        <v>0</v>
      </c>
      <c r="P11" s="393">
        <v>0</v>
      </c>
      <c r="Q11" s="96">
        <f t="shared" si="3"/>
        <v>0</v>
      </c>
      <c r="R11" s="393">
        <f t="shared" si="4"/>
        <v>0</v>
      </c>
      <c r="S11" s="411">
        <f t="shared" si="5"/>
        <v>0.5</v>
      </c>
      <c r="T11" s="411">
        <f t="shared" si="6"/>
        <v>0</v>
      </c>
      <c r="U11" s="411">
        <f t="shared" si="7"/>
        <v>0.25</v>
      </c>
      <c r="V11" s="432" t="s">
        <v>916</v>
      </c>
      <c r="W11" s="5">
        <v>14500000</v>
      </c>
      <c r="X11" s="5">
        <v>8000000</v>
      </c>
      <c r="Y11" s="6">
        <f t="shared" si="8"/>
        <v>6500000</v>
      </c>
      <c r="Z11" s="393">
        <v>0</v>
      </c>
      <c r="AA11" s="96">
        <f t="shared" si="9"/>
        <v>0</v>
      </c>
      <c r="AB11" s="393">
        <v>0</v>
      </c>
      <c r="AC11" s="96">
        <f t="shared" si="10"/>
        <v>0</v>
      </c>
      <c r="AD11" s="393">
        <v>12</v>
      </c>
      <c r="AE11" s="96">
        <f t="shared" si="11"/>
        <v>0.63157894736842102</v>
      </c>
      <c r="AF11" s="393">
        <f t="shared" si="12"/>
        <v>12</v>
      </c>
      <c r="AG11" s="411">
        <f t="shared" si="13"/>
        <v>0.55172413793103448</v>
      </c>
      <c r="AH11" s="411">
        <f t="shared" si="14"/>
        <v>0.63157894736842102</v>
      </c>
      <c r="AI11" s="411">
        <f t="shared" si="15"/>
        <v>0.59165154264972775</v>
      </c>
      <c r="AJ11" s="432" t="s">
        <v>455</v>
      </c>
      <c r="AK11" s="5">
        <v>14500000</v>
      </c>
      <c r="AL11" s="5">
        <v>14169782</v>
      </c>
      <c r="AM11" s="6">
        <f t="shared" si="16"/>
        <v>330218</v>
      </c>
      <c r="AN11" s="393">
        <v>11</v>
      </c>
      <c r="AO11" s="96">
        <f t="shared" si="17"/>
        <v>0.57894736842105265</v>
      </c>
      <c r="AP11" s="393">
        <v>10</v>
      </c>
      <c r="AQ11" s="96">
        <f t="shared" si="18"/>
        <v>0.52631578947368418</v>
      </c>
      <c r="AR11" s="393">
        <v>14</v>
      </c>
      <c r="AS11" s="96">
        <f t="shared" si="19"/>
        <v>0.73684210526315785</v>
      </c>
      <c r="AT11" s="393">
        <f t="shared" si="20"/>
        <v>35</v>
      </c>
      <c r="AU11" s="428">
        <f t="shared" si="21"/>
        <v>0.97722634482758619</v>
      </c>
      <c r="AV11" s="428">
        <f t="shared" si="22"/>
        <v>1.8421052631578947</v>
      </c>
      <c r="AW11" s="428">
        <f t="shared" si="23"/>
        <v>1.4096658039927403</v>
      </c>
      <c r="AX11" s="432" t="s">
        <v>917</v>
      </c>
    </row>
    <row r="12" spans="1:50" ht="35.25" customHeight="1" x14ac:dyDescent="0.25">
      <c r="A12" s="539"/>
      <c r="B12" s="542"/>
      <c r="C12" s="26" t="str">
        <f>[2]SEGUIMIENTO!C78</f>
        <v>SP-PY3.5</v>
      </c>
      <c r="D12" s="259" t="str">
        <f>[2]SEGUIMIENTO!D78</f>
        <v>Apoyos financieros a la suscripción de convenios interinstitucionales.</v>
      </c>
      <c r="E12" s="26">
        <f>[2]SEGUIMIENTO!E78</f>
        <v>520</v>
      </c>
      <c r="F12" s="425" t="s">
        <v>186</v>
      </c>
      <c r="G12" s="425">
        <v>48</v>
      </c>
      <c r="H12" s="425" t="s">
        <v>153</v>
      </c>
      <c r="I12" s="5">
        <v>11500000</v>
      </c>
      <c r="J12" s="5">
        <v>0</v>
      </c>
      <c r="K12" s="6">
        <f t="shared" si="0"/>
        <v>11500000</v>
      </c>
      <c r="L12" s="393">
        <v>0</v>
      </c>
      <c r="M12" s="96">
        <f t="shared" si="1"/>
        <v>0</v>
      </c>
      <c r="N12" s="393">
        <v>0</v>
      </c>
      <c r="O12" s="96">
        <f t="shared" si="2"/>
        <v>0</v>
      </c>
      <c r="P12" s="393">
        <v>0</v>
      </c>
      <c r="Q12" s="96">
        <f t="shared" si="3"/>
        <v>0</v>
      </c>
      <c r="R12" s="393">
        <f t="shared" si="4"/>
        <v>0</v>
      </c>
      <c r="S12" s="411">
        <f t="shared" si="5"/>
        <v>0</v>
      </c>
      <c r="T12" s="411">
        <f t="shared" si="6"/>
        <v>0</v>
      </c>
      <c r="U12" s="411">
        <f t="shared" si="7"/>
        <v>0</v>
      </c>
      <c r="V12" s="32" t="s">
        <v>918</v>
      </c>
      <c r="W12" s="5">
        <v>11500000</v>
      </c>
      <c r="X12" s="433">
        <v>0</v>
      </c>
      <c r="Y12" s="6">
        <f t="shared" si="8"/>
        <v>11500000</v>
      </c>
      <c r="Z12" s="393">
        <v>0</v>
      </c>
      <c r="AA12" s="96">
        <f t="shared" si="9"/>
        <v>0</v>
      </c>
      <c r="AB12" s="393">
        <v>0</v>
      </c>
      <c r="AC12" s="96">
        <f t="shared" si="10"/>
        <v>0</v>
      </c>
      <c r="AD12" s="393">
        <v>0</v>
      </c>
      <c r="AE12" s="96">
        <f t="shared" si="11"/>
        <v>0</v>
      </c>
      <c r="AF12" s="393">
        <f t="shared" si="12"/>
        <v>0</v>
      </c>
      <c r="AG12" s="411">
        <f t="shared" si="13"/>
        <v>0</v>
      </c>
      <c r="AH12" s="411">
        <f t="shared" si="14"/>
        <v>0</v>
      </c>
      <c r="AI12" s="411">
        <f t="shared" si="15"/>
        <v>0</v>
      </c>
      <c r="AJ12" s="431" t="s">
        <v>918</v>
      </c>
      <c r="AK12" s="5">
        <v>11500000</v>
      </c>
      <c r="AL12" s="5">
        <v>5980283</v>
      </c>
      <c r="AM12" s="6">
        <f t="shared" si="16"/>
        <v>5519717</v>
      </c>
      <c r="AN12" s="393">
        <v>0</v>
      </c>
      <c r="AO12" s="96">
        <f t="shared" si="17"/>
        <v>0</v>
      </c>
      <c r="AP12" s="393">
        <v>2</v>
      </c>
      <c r="AQ12" s="96">
        <f t="shared" si="18"/>
        <v>4.1666666666666664E-2</v>
      </c>
      <c r="AR12" s="393">
        <v>0</v>
      </c>
      <c r="AS12" s="96">
        <f t="shared" si="19"/>
        <v>0</v>
      </c>
      <c r="AT12" s="393">
        <f t="shared" si="20"/>
        <v>2</v>
      </c>
      <c r="AU12" s="428">
        <f t="shared" si="21"/>
        <v>0.52002460869565215</v>
      </c>
      <c r="AV12" s="428">
        <f t="shared" si="22"/>
        <v>4.1666666666666664E-2</v>
      </c>
      <c r="AW12" s="428">
        <f t="shared" si="23"/>
        <v>0.28084563768115939</v>
      </c>
      <c r="AX12" s="431" t="s">
        <v>919</v>
      </c>
    </row>
    <row r="13" spans="1:50" ht="96" customHeight="1" x14ac:dyDescent="0.25">
      <c r="A13" s="539"/>
      <c r="B13" s="542"/>
      <c r="C13" s="26" t="str">
        <f>[2]SEGUIMIENTO!C79</f>
        <v>SP-PY3.6</v>
      </c>
      <c r="D13" s="259" t="str">
        <f>[2]SEGUIMIENTO!D79</f>
        <v>Apoyo a la gestión academico-administrativa de la Proyección Social.</v>
      </c>
      <c r="E13" s="26">
        <f>[2]SEGUIMIENTO!E79</f>
        <v>520</v>
      </c>
      <c r="F13" s="425" t="s">
        <v>239</v>
      </c>
      <c r="G13" s="425">
        <v>50</v>
      </c>
      <c r="H13" s="5" t="s">
        <v>920</v>
      </c>
      <c r="I13" s="5">
        <v>294084973</v>
      </c>
      <c r="J13" s="5">
        <v>226948438</v>
      </c>
      <c r="K13" s="6">
        <f t="shared" si="0"/>
        <v>67136535</v>
      </c>
      <c r="L13" s="393">
        <v>4</v>
      </c>
      <c r="M13" s="96">
        <f t="shared" si="1"/>
        <v>0.08</v>
      </c>
      <c r="N13" s="393">
        <v>3</v>
      </c>
      <c r="O13" s="96">
        <f t="shared" si="2"/>
        <v>0.06</v>
      </c>
      <c r="P13" s="393">
        <v>0</v>
      </c>
      <c r="Q13" s="96">
        <f t="shared" si="3"/>
        <v>0</v>
      </c>
      <c r="R13" s="393">
        <f t="shared" si="4"/>
        <v>7</v>
      </c>
      <c r="S13" s="411">
        <f t="shared" si="5"/>
        <v>0.77171041989962541</v>
      </c>
      <c r="T13" s="411">
        <f t="shared" si="6"/>
        <v>0.14000000000000001</v>
      </c>
      <c r="U13" s="411">
        <f t="shared" si="7"/>
        <v>0.45585520994981271</v>
      </c>
      <c r="V13" s="32" t="s">
        <v>456</v>
      </c>
      <c r="W13" s="5">
        <v>522163812</v>
      </c>
      <c r="X13" s="5">
        <v>237092466</v>
      </c>
      <c r="Y13" s="6">
        <f t="shared" si="8"/>
        <v>285071346</v>
      </c>
      <c r="Z13" s="393">
        <v>9</v>
      </c>
      <c r="AA13" s="96">
        <f t="shared" si="9"/>
        <v>0.18</v>
      </c>
      <c r="AB13" s="393">
        <v>8</v>
      </c>
      <c r="AC13" s="96">
        <f t="shared" si="10"/>
        <v>0.16</v>
      </c>
      <c r="AD13" s="393">
        <v>6</v>
      </c>
      <c r="AE13" s="96">
        <f t="shared" si="11"/>
        <v>0.12</v>
      </c>
      <c r="AF13" s="393">
        <f t="shared" si="12"/>
        <v>23</v>
      </c>
      <c r="AG13" s="411">
        <f t="shared" si="13"/>
        <v>0.45405763584397918</v>
      </c>
      <c r="AH13" s="411">
        <f t="shared" si="14"/>
        <v>0.46</v>
      </c>
      <c r="AI13" s="411">
        <f t="shared" si="15"/>
        <v>0.45702881792198957</v>
      </c>
      <c r="AJ13" s="431" t="s">
        <v>921</v>
      </c>
      <c r="AK13" s="5">
        <v>522163812</v>
      </c>
      <c r="AL13" s="5">
        <v>466915039</v>
      </c>
      <c r="AM13" s="6">
        <f t="shared" si="16"/>
        <v>55248773</v>
      </c>
      <c r="AN13" s="393">
        <v>9</v>
      </c>
      <c r="AO13" s="96">
        <f t="shared" si="17"/>
        <v>0.18</v>
      </c>
      <c r="AP13" s="393">
        <v>7</v>
      </c>
      <c r="AQ13" s="96">
        <f t="shared" si="18"/>
        <v>0.14000000000000001</v>
      </c>
      <c r="AR13" s="393">
        <v>11</v>
      </c>
      <c r="AS13" s="96">
        <f t="shared" si="19"/>
        <v>0.22</v>
      </c>
      <c r="AT13" s="393">
        <f t="shared" si="20"/>
        <v>27</v>
      </c>
      <c r="AU13" s="428">
        <f t="shared" si="21"/>
        <v>0.89419264274867061</v>
      </c>
      <c r="AV13" s="428">
        <f t="shared" si="22"/>
        <v>0.54</v>
      </c>
      <c r="AW13" s="428">
        <f t="shared" si="23"/>
        <v>0.71709632137433532</v>
      </c>
      <c r="AX13" s="431" t="s">
        <v>922</v>
      </c>
    </row>
    <row r="14" spans="1:50" ht="36" customHeight="1" x14ac:dyDescent="0.25">
      <c r="A14" s="539"/>
      <c r="B14" s="37"/>
      <c r="C14" s="26" t="str">
        <f>[2]SEGUIMIENTO!C80</f>
        <v>SP-PY3.7</v>
      </c>
      <c r="D14" s="259" t="str">
        <f>[2]SEGUIMIENTO!D80</f>
        <v>Apoyos cursos de formación continuada a egresados de las sedes Neiva, Garzón, Pitalito y la Plata.</v>
      </c>
      <c r="E14" s="26">
        <f>[2]SEGUIMIENTO!E80</f>
        <v>520</v>
      </c>
      <c r="F14" s="36" t="s">
        <v>89</v>
      </c>
      <c r="G14" s="425"/>
      <c r="H14" s="425"/>
      <c r="I14" s="5">
        <f>[2]SEGUIMIENTO!I80</f>
        <v>0</v>
      </c>
      <c r="J14" s="5"/>
      <c r="K14" s="6">
        <f t="shared" si="0"/>
        <v>0</v>
      </c>
      <c r="L14" s="393"/>
      <c r="M14" s="96">
        <f t="shared" si="1"/>
        <v>0</v>
      </c>
      <c r="N14" s="393"/>
      <c r="O14" s="96">
        <f t="shared" si="2"/>
        <v>0</v>
      </c>
      <c r="P14" s="393"/>
      <c r="Q14" s="96">
        <f t="shared" si="3"/>
        <v>0</v>
      </c>
      <c r="R14" s="393">
        <f t="shared" si="4"/>
        <v>0</v>
      </c>
      <c r="S14" s="411">
        <f t="shared" si="5"/>
        <v>0</v>
      </c>
      <c r="T14" s="411">
        <f t="shared" si="6"/>
        <v>0</v>
      </c>
      <c r="U14" s="411">
        <f t="shared" si="7"/>
        <v>0</v>
      </c>
      <c r="V14" s="7"/>
      <c r="W14" s="5">
        <v>0</v>
      </c>
      <c r="X14" s="5"/>
      <c r="Y14" s="6">
        <f t="shared" si="8"/>
        <v>0</v>
      </c>
      <c r="Z14" s="393"/>
      <c r="AA14" s="96">
        <f t="shared" si="9"/>
        <v>0</v>
      </c>
      <c r="AB14" s="393"/>
      <c r="AC14" s="96">
        <f t="shared" si="10"/>
        <v>0</v>
      </c>
      <c r="AD14" s="393"/>
      <c r="AE14" s="96">
        <f t="shared" si="11"/>
        <v>0</v>
      </c>
      <c r="AF14" s="393">
        <f t="shared" si="12"/>
        <v>0</v>
      </c>
      <c r="AG14" s="411">
        <f t="shared" si="13"/>
        <v>0</v>
      </c>
      <c r="AH14" s="411">
        <f t="shared" si="14"/>
        <v>0</v>
      </c>
      <c r="AI14" s="411">
        <f t="shared" si="15"/>
        <v>0</v>
      </c>
      <c r="AJ14" s="434"/>
      <c r="AK14" s="5">
        <v>0</v>
      </c>
      <c r="AL14" s="5"/>
      <c r="AM14" s="6">
        <f t="shared" si="16"/>
        <v>0</v>
      </c>
      <c r="AN14" s="393"/>
      <c r="AO14" s="96">
        <f t="shared" si="17"/>
        <v>0</v>
      </c>
      <c r="AP14" s="393"/>
      <c r="AQ14" s="96">
        <f t="shared" si="18"/>
        <v>0</v>
      </c>
      <c r="AR14" s="393"/>
      <c r="AS14" s="96">
        <f t="shared" si="19"/>
        <v>0</v>
      </c>
      <c r="AT14" s="393">
        <f t="shared" si="20"/>
        <v>0</v>
      </c>
      <c r="AU14" s="428">
        <f t="shared" si="21"/>
        <v>0</v>
      </c>
      <c r="AV14" s="428">
        <f t="shared" si="22"/>
        <v>0</v>
      </c>
      <c r="AW14" s="428">
        <f t="shared" si="23"/>
        <v>0</v>
      </c>
      <c r="AX14" s="434"/>
    </row>
    <row r="15" spans="1:50" ht="34.5" customHeight="1" x14ac:dyDescent="0.25">
      <c r="A15" s="540"/>
      <c r="B15" s="38"/>
      <c r="C15" s="26" t="str">
        <f>[2]SEGUIMIENTO!C81</f>
        <v>SP-PY3.8</v>
      </c>
      <c r="D15" s="259" t="str">
        <f>[2]SEGUIMIENTO!D81</f>
        <v>Apoyo anual para el fortalecimiento y consolidación del Programa de Gestión Tecnológica.</v>
      </c>
      <c r="E15" s="26">
        <f>[2]SEGUIMIENTO!E81</f>
        <v>520</v>
      </c>
      <c r="F15" s="36" t="s">
        <v>89</v>
      </c>
      <c r="G15" s="425"/>
      <c r="H15" s="425"/>
      <c r="I15" s="5">
        <f>[2]SEGUIMIENTO!I81</f>
        <v>0</v>
      </c>
      <c r="J15" s="5"/>
      <c r="K15" s="6">
        <f t="shared" si="0"/>
        <v>0</v>
      </c>
      <c r="L15" s="393"/>
      <c r="M15" s="96">
        <f t="shared" si="1"/>
        <v>0</v>
      </c>
      <c r="N15" s="393"/>
      <c r="O15" s="96">
        <f t="shared" si="2"/>
        <v>0</v>
      </c>
      <c r="P15" s="393"/>
      <c r="Q15" s="96">
        <f t="shared" si="3"/>
        <v>0</v>
      </c>
      <c r="R15" s="393">
        <f t="shared" si="4"/>
        <v>0</v>
      </c>
      <c r="S15" s="411">
        <f t="shared" si="5"/>
        <v>0</v>
      </c>
      <c r="T15" s="411">
        <f t="shared" si="6"/>
        <v>0</v>
      </c>
      <c r="U15" s="411">
        <f t="shared" si="7"/>
        <v>0</v>
      </c>
      <c r="V15" s="7"/>
      <c r="W15" s="5">
        <v>0</v>
      </c>
      <c r="X15" s="5"/>
      <c r="Y15" s="6">
        <f t="shared" si="8"/>
        <v>0</v>
      </c>
      <c r="Z15" s="393"/>
      <c r="AA15" s="96">
        <f t="shared" si="9"/>
        <v>0</v>
      </c>
      <c r="AB15" s="393"/>
      <c r="AC15" s="96">
        <f t="shared" si="10"/>
        <v>0</v>
      </c>
      <c r="AD15" s="393"/>
      <c r="AE15" s="96">
        <f t="shared" si="11"/>
        <v>0</v>
      </c>
      <c r="AF15" s="393">
        <f t="shared" si="12"/>
        <v>0</v>
      </c>
      <c r="AG15" s="411">
        <f t="shared" si="13"/>
        <v>0</v>
      </c>
      <c r="AH15" s="411">
        <f t="shared" si="14"/>
        <v>0</v>
      </c>
      <c r="AI15" s="411">
        <f t="shared" si="15"/>
        <v>0</v>
      </c>
      <c r="AJ15" s="434"/>
      <c r="AK15" s="5">
        <v>0</v>
      </c>
      <c r="AL15" s="5"/>
      <c r="AM15" s="6">
        <f t="shared" si="16"/>
        <v>0</v>
      </c>
      <c r="AN15" s="393"/>
      <c r="AO15" s="96">
        <f t="shared" si="17"/>
        <v>0</v>
      </c>
      <c r="AP15" s="393"/>
      <c r="AQ15" s="96">
        <f t="shared" si="18"/>
        <v>0</v>
      </c>
      <c r="AR15" s="393"/>
      <c r="AS15" s="96">
        <f t="shared" si="19"/>
        <v>0</v>
      </c>
      <c r="AT15" s="393">
        <f t="shared" si="20"/>
        <v>0</v>
      </c>
      <c r="AU15" s="428">
        <f t="shared" si="21"/>
        <v>0</v>
      </c>
      <c r="AV15" s="428">
        <f t="shared" si="22"/>
        <v>0</v>
      </c>
      <c r="AW15" s="428">
        <f t="shared" si="23"/>
        <v>0</v>
      </c>
      <c r="AX15" s="434"/>
    </row>
    <row r="16" spans="1:50" ht="45" customHeight="1" x14ac:dyDescent="0.25">
      <c r="A16" s="538" t="s">
        <v>207</v>
      </c>
      <c r="B16" s="541" t="s">
        <v>244</v>
      </c>
      <c r="C16" s="26" t="str">
        <f>[2]SEGUIMIENTO!C82</f>
        <v>SP-PY4.1</v>
      </c>
      <c r="D16" s="259" t="s">
        <v>246</v>
      </c>
      <c r="E16" s="423">
        <v>520</v>
      </c>
      <c r="F16" s="425" t="s">
        <v>89</v>
      </c>
      <c r="G16" s="425">
        <v>25</v>
      </c>
      <c r="H16" s="425" t="s">
        <v>923</v>
      </c>
      <c r="I16" s="5">
        <v>30000000</v>
      </c>
      <c r="J16" s="5">
        <v>742630</v>
      </c>
      <c r="K16" s="6">
        <f t="shared" si="0"/>
        <v>29257370</v>
      </c>
      <c r="L16" s="393">
        <v>0</v>
      </c>
      <c r="M16" s="96">
        <f t="shared" si="1"/>
        <v>0</v>
      </c>
      <c r="N16" s="393">
        <v>0</v>
      </c>
      <c r="O16" s="96">
        <f t="shared" si="2"/>
        <v>0</v>
      </c>
      <c r="P16" s="393">
        <v>0</v>
      </c>
      <c r="Q16" s="96">
        <f t="shared" si="3"/>
        <v>0</v>
      </c>
      <c r="R16" s="393">
        <f t="shared" si="4"/>
        <v>0</v>
      </c>
      <c r="S16" s="411">
        <f t="shared" si="5"/>
        <v>2.4754333333333333E-2</v>
      </c>
      <c r="T16" s="411">
        <f t="shared" si="6"/>
        <v>0</v>
      </c>
      <c r="U16" s="411">
        <f t="shared" si="7"/>
        <v>1.2377166666666667E-2</v>
      </c>
      <c r="V16" s="32" t="s">
        <v>924</v>
      </c>
      <c r="W16" s="5">
        <v>30000000</v>
      </c>
      <c r="X16" s="5">
        <v>742630</v>
      </c>
      <c r="Y16" s="6">
        <f t="shared" si="8"/>
        <v>29257370</v>
      </c>
      <c r="Z16" s="393">
        <v>16</v>
      </c>
      <c r="AA16" s="96">
        <f t="shared" si="9"/>
        <v>0.64</v>
      </c>
      <c r="AB16" s="393">
        <v>16</v>
      </c>
      <c r="AC16" s="96">
        <f t="shared" si="10"/>
        <v>0.64</v>
      </c>
      <c r="AD16" s="393">
        <v>16</v>
      </c>
      <c r="AE16" s="96">
        <f t="shared" si="11"/>
        <v>0.64</v>
      </c>
      <c r="AF16" s="393">
        <f t="shared" si="12"/>
        <v>48</v>
      </c>
      <c r="AG16" s="411">
        <f t="shared" si="13"/>
        <v>2.4754333333333333E-2</v>
      </c>
      <c r="AH16" s="411">
        <f t="shared" si="14"/>
        <v>1.92</v>
      </c>
      <c r="AI16" s="411">
        <f t="shared" si="15"/>
        <v>0.97237716666666663</v>
      </c>
      <c r="AJ16" s="431" t="s">
        <v>925</v>
      </c>
      <c r="AK16" s="5">
        <v>30000000</v>
      </c>
      <c r="AL16" s="5">
        <v>23652597</v>
      </c>
      <c r="AM16" s="6">
        <f t="shared" si="16"/>
        <v>6347403</v>
      </c>
      <c r="AN16" s="393">
        <v>6</v>
      </c>
      <c r="AO16" s="96">
        <f t="shared" si="17"/>
        <v>0.24</v>
      </c>
      <c r="AP16" s="393">
        <v>5</v>
      </c>
      <c r="AQ16" s="96">
        <f t="shared" si="18"/>
        <v>0.2</v>
      </c>
      <c r="AR16" s="393">
        <v>5</v>
      </c>
      <c r="AS16" s="96">
        <f t="shared" si="19"/>
        <v>0.2</v>
      </c>
      <c r="AT16" s="393">
        <f t="shared" si="20"/>
        <v>16</v>
      </c>
      <c r="AU16" s="428">
        <f t="shared" si="21"/>
        <v>0.78841989999999995</v>
      </c>
      <c r="AV16" s="428">
        <f t="shared" si="22"/>
        <v>0.64</v>
      </c>
      <c r="AW16" s="428">
        <f t="shared" si="23"/>
        <v>0.71420994999999998</v>
      </c>
      <c r="AX16" s="431" t="s">
        <v>926</v>
      </c>
    </row>
    <row r="17" spans="1:50" ht="45" customHeight="1" x14ac:dyDescent="0.25">
      <c r="A17" s="539"/>
      <c r="B17" s="542"/>
      <c r="C17" s="26" t="str">
        <f>[2]SEGUIMIENTO!C83</f>
        <v>SP-PY4.3</v>
      </c>
      <c r="D17" s="259" t="str">
        <f>[2]SEGUIMIENTO!D83</f>
        <v>Modernización de la Innovación y/o emprendimiento en el Plan de Estudios.</v>
      </c>
      <c r="E17" s="26">
        <f>[2]SEGUIMIENTO!E83</f>
        <v>520</v>
      </c>
      <c r="F17" s="425"/>
      <c r="G17" s="36"/>
      <c r="H17" s="425"/>
      <c r="I17" s="5">
        <f>[2]SEGUIMIENTO!I83</f>
        <v>0</v>
      </c>
      <c r="J17" s="5"/>
      <c r="K17" s="6"/>
      <c r="L17" s="393"/>
      <c r="M17" s="96"/>
      <c r="N17" s="393"/>
      <c r="O17" s="96"/>
      <c r="P17" s="393"/>
      <c r="Q17" s="96"/>
      <c r="R17" s="393"/>
      <c r="S17" s="411"/>
      <c r="T17" s="411">
        <f t="shared" si="6"/>
        <v>0</v>
      </c>
      <c r="U17" s="411"/>
      <c r="V17" s="32"/>
      <c r="W17" s="5">
        <v>0</v>
      </c>
      <c r="X17" s="5"/>
      <c r="Y17" s="6"/>
      <c r="Z17" s="393"/>
      <c r="AA17" s="96">
        <f t="shared" si="9"/>
        <v>0</v>
      </c>
      <c r="AB17" s="393"/>
      <c r="AC17" s="96">
        <f t="shared" si="10"/>
        <v>0</v>
      </c>
      <c r="AD17" s="393"/>
      <c r="AE17" s="96">
        <f t="shared" si="11"/>
        <v>0</v>
      </c>
      <c r="AF17" s="393">
        <f t="shared" si="12"/>
        <v>0</v>
      </c>
      <c r="AG17" s="411">
        <f t="shared" si="13"/>
        <v>0</v>
      </c>
      <c r="AH17" s="411">
        <f t="shared" si="14"/>
        <v>0</v>
      </c>
      <c r="AI17" s="411">
        <f t="shared" si="15"/>
        <v>0</v>
      </c>
      <c r="AJ17" s="431"/>
      <c r="AK17" s="5">
        <v>0</v>
      </c>
      <c r="AL17" s="5"/>
      <c r="AM17" s="6"/>
      <c r="AN17" s="393"/>
      <c r="AO17" s="96">
        <f t="shared" si="17"/>
        <v>0</v>
      </c>
      <c r="AP17" s="393"/>
      <c r="AQ17" s="96">
        <f t="shared" si="18"/>
        <v>0</v>
      </c>
      <c r="AR17" s="393"/>
      <c r="AS17" s="96">
        <f t="shared" si="19"/>
        <v>0</v>
      </c>
      <c r="AT17" s="393">
        <f t="shared" si="20"/>
        <v>0</v>
      </c>
      <c r="AU17" s="428">
        <f t="shared" si="21"/>
        <v>0</v>
      </c>
      <c r="AV17" s="428">
        <f t="shared" si="22"/>
        <v>0</v>
      </c>
      <c r="AW17" s="428">
        <f t="shared" si="23"/>
        <v>0</v>
      </c>
      <c r="AX17" s="431"/>
    </row>
    <row r="18" spans="1:50" ht="45" customHeight="1" x14ac:dyDescent="0.25">
      <c r="A18" s="539"/>
      <c r="B18" s="542"/>
      <c r="C18" s="26" t="str">
        <f>[2]SEGUIMIENTO!C84</f>
        <v>SP-PY4.4</v>
      </c>
      <c r="D18" s="259" t="str">
        <f>[2]SEGUIMIENTO!D84</f>
        <v>Dotación, compra de material P.O.P, Didactico y Bibliografico de la Unidad de Emprendimiento.</v>
      </c>
      <c r="E18" s="26">
        <f>[2]SEGUIMIENTO!E84</f>
        <v>520</v>
      </c>
      <c r="F18" s="425"/>
      <c r="G18" s="36"/>
      <c r="H18" s="425"/>
      <c r="I18" s="5">
        <f>[2]SEGUIMIENTO!I84</f>
        <v>0</v>
      </c>
      <c r="J18" s="5"/>
      <c r="K18" s="6"/>
      <c r="L18" s="393"/>
      <c r="M18" s="96"/>
      <c r="N18" s="393"/>
      <c r="O18" s="96"/>
      <c r="P18" s="393"/>
      <c r="Q18" s="96"/>
      <c r="R18" s="393"/>
      <c r="S18" s="411"/>
      <c r="T18" s="411">
        <f t="shared" si="6"/>
        <v>0</v>
      </c>
      <c r="U18" s="411"/>
      <c r="V18" s="32"/>
      <c r="W18" s="5">
        <v>0</v>
      </c>
      <c r="X18" s="5"/>
      <c r="Y18" s="6"/>
      <c r="Z18" s="393"/>
      <c r="AA18" s="96">
        <f t="shared" si="9"/>
        <v>0</v>
      </c>
      <c r="AB18" s="393"/>
      <c r="AC18" s="96">
        <f t="shared" si="10"/>
        <v>0</v>
      </c>
      <c r="AD18" s="393"/>
      <c r="AE18" s="96">
        <f t="shared" si="11"/>
        <v>0</v>
      </c>
      <c r="AF18" s="393">
        <f t="shared" si="12"/>
        <v>0</v>
      </c>
      <c r="AG18" s="411">
        <f t="shared" si="13"/>
        <v>0</v>
      </c>
      <c r="AH18" s="411">
        <f t="shared" si="14"/>
        <v>0</v>
      </c>
      <c r="AI18" s="411">
        <f t="shared" si="15"/>
        <v>0</v>
      </c>
      <c r="AJ18" s="431"/>
      <c r="AK18" s="5">
        <v>0</v>
      </c>
      <c r="AL18" s="5"/>
      <c r="AM18" s="6"/>
      <c r="AN18" s="393"/>
      <c r="AO18" s="96">
        <f t="shared" si="17"/>
        <v>0</v>
      </c>
      <c r="AP18" s="393"/>
      <c r="AQ18" s="96">
        <f t="shared" si="18"/>
        <v>0</v>
      </c>
      <c r="AR18" s="393"/>
      <c r="AS18" s="96">
        <f t="shared" si="19"/>
        <v>0</v>
      </c>
      <c r="AT18" s="393">
        <f t="shared" si="20"/>
        <v>0</v>
      </c>
      <c r="AU18" s="428">
        <f t="shared" si="21"/>
        <v>0</v>
      </c>
      <c r="AV18" s="428">
        <f t="shared" si="22"/>
        <v>0</v>
      </c>
      <c r="AW18" s="428">
        <f t="shared" si="23"/>
        <v>0</v>
      </c>
      <c r="AX18" s="431"/>
    </row>
    <row r="19" spans="1:50" ht="45" customHeight="1" x14ac:dyDescent="0.25">
      <c r="A19" s="539"/>
      <c r="B19" s="542"/>
      <c r="C19" s="26" t="str">
        <f>[2]SEGUIMIENTO!C85</f>
        <v>SP-PY4.5</v>
      </c>
      <c r="D19" s="259" t="str">
        <f>[2]SEGUIMIENTO!D85</f>
        <v>Apoyo en la gestión de proyectos de emprendimiento e innovación.</v>
      </c>
      <c r="E19" s="26">
        <f>[2]SEGUIMIENTO!E85</f>
        <v>520</v>
      </c>
      <c r="F19" s="425"/>
      <c r="G19" s="36"/>
      <c r="H19" s="425"/>
      <c r="I19" s="5">
        <f>[2]SEGUIMIENTO!I85</f>
        <v>0</v>
      </c>
      <c r="J19" s="5"/>
      <c r="K19" s="6"/>
      <c r="L19" s="393"/>
      <c r="M19" s="96"/>
      <c r="N19" s="393"/>
      <c r="O19" s="96"/>
      <c r="P19" s="393"/>
      <c r="Q19" s="96"/>
      <c r="R19" s="393"/>
      <c r="S19" s="411"/>
      <c r="T19" s="411">
        <f t="shared" si="6"/>
        <v>0</v>
      </c>
      <c r="U19" s="411"/>
      <c r="V19" s="32"/>
      <c r="W19" s="5">
        <v>0</v>
      </c>
      <c r="X19" s="5"/>
      <c r="Y19" s="6"/>
      <c r="Z19" s="393"/>
      <c r="AA19" s="96">
        <f t="shared" si="9"/>
        <v>0</v>
      </c>
      <c r="AB19" s="393"/>
      <c r="AC19" s="96">
        <f t="shared" si="10"/>
        <v>0</v>
      </c>
      <c r="AD19" s="393"/>
      <c r="AE19" s="96">
        <f t="shared" si="11"/>
        <v>0</v>
      </c>
      <c r="AF19" s="393">
        <f t="shared" si="12"/>
        <v>0</v>
      </c>
      <c r="AG19" s="411">
        <f t="shared" si="13"/>
        <v>0</v>
      </c>
      <c r="AH19" s="411">
        <f t="shared" si="14"/>
        <v>0</v>
      </c>
      <c r="AI19" s="411">
        <f t="shared" si="15"/>
        <v>0</v>
      </c>
      <c r="AJ19" s="431"/>
      <c r="AK19" s="5">
        <v>0</v>
      </c>
      <c r="AL19" s="5"/>
      <c r="AM19" s="6"/>
      <c r="AN19" s="393"/>
      <c r="AO19" s="96">
        <f t="shared" si="17"/>
        <v>0</v>
      </c>
      <c r="AP19" s="393"/>
      <c r="AQ19" s="96">
        <f t="shared" si="18"/>
        <v>0</v>
      </c>
      <c r="AR19" s="393"/>
      <c r="AS19" s="96">
        <f t="shared" si="19"/>
        <v>0</v>
      </c>
      <c r="AT19" s="393">
        <f t="shared" si="20"/>
        <v>0</v>
      </c>
      <c r="AU19" s="428">
        <f t="shared" si="21"/>
        <v>0</v>
      </c>
      <c r="AV19" s="428">
        <f t="shared" si="22"/>
        <v>0</v>
      </c>
      <c r="AW19" s="428">
        <f t="shared" si="23"/>
        <v>0</v>
      </c>
      <c r="AX19" s="431"/>
    </row>
    <row r="20" spans="1:50" ht="45" customHeight="1" x14ac:dyDescent="0.25">
      <c r="A20" s="539"/>
      <c r="B20" s="542"/>
      <c r="C20" s="26" t="str">
        <f>[2]SEGUIMIENTO!C86</f>
        <v>SP-PY4.6</v>
      </c>
      <c r="D20" s="259" t="str">
        <f>[2]SEGUIMIENTO!D86</f>
        <v xml:space="preserve">Selección y formalización del equipo de trabajo.  </v>
      </c>
      <c r="E20" s="26">
        <f>[2]SEGUIMIENTO!E86</f>
        <v>520</v>
      </c>
      <c r="F20" s="425"/>
      <c r="G20" s="36"/>
      <c r="H20" s="425"/>
      <c r="I20" s="5">
        <f>[2]SEGUIMIENTO!I86</f>
        <v>0</v>
      </c>
      <c r="J20" s="5"/>
      <c r="K20" s="6"/>
      <c r="L20" s="393"/>
      <c r="M20" s="96"/>
      <c r="N20" s="393"/>
      <c r="O20" s="96"/>
      <c r="P20" s="393"/>
      <c r="Q20" s="96"/>
      <c r="R20" s="393"/>
      <c r="S20" s="411"/>
      <c r="T20" s="411">
        <f t="shared" si="6"/>
        <v>0</v>
      </c>
      <c r="U20" s="411"/>
      <c r="V20" s="32"/>
      <c r="W20" s="5">
        <v>0</v>
      </c>
      <c r="X20" s="5"/>
      <c r="Y20" s="6"/>
      <c r="Z20" s="393"/>
      <c r="AA20" s="96">
        <f t="shared" si="9"/>
        <v>0</v>
      </c>
      <c r="AB20" s="393"/>
      <c r="AC20" s="96">
        <f t="shared" si="10"/>
        <v>0</v>
      </c>
      <c r="AD20" s="393"/>
      <c r="AE20" s="96">
        <f t="shared" si="11"/>
        <v>0</v>
      </c>
      <c r="AF20" s="393">
        <f t="shared" si="12"/>
        <v>0</v>
      </c>
      <c r="AG20" s="411">
        <f t="shared" si="13"/>
        <v>0</v>
      </c>
      <c r="AH20" s="411">
        <f t="shared" si="14"/>
        <v>0</v>
      </c>
      <c r="AI20" s="411">
        <f t="shared" si="15"/>
        <v>0</v>
      </c>
      <c r="AJ20" s="431"/>
      <c r="AK20" s="5">
        <v>0</v>
      </c>
      <c r="AL20" s="5"/>
      <c r="AM20" s="6"/>
      <c r="AN20" s="393"/>
      <c r="AO20" s="96">
        <f t="shared" si="17"/>
        <v>0</v>
      </c>
      <c r="AP20" s="393"/>
      <c r="AQ20" s="96">
        <f t="shared" si="18"/>
        <v>0</v>
      </c>
      <c r="AR20" s="393"/>
      <c r="AS20" s="96">
        <f t="shared" si="19"/>
        <v>0</v>
      </c>
      <c r="AT20" s="393">
        <f t="shared" si="20"/>
        <v>0</v>
      </c>
      <c r="AU20" s="428">
        <f t="shared" si="21"/>
        <v>0</v>
      </c>
      <c r="AV20" s="428">
        <f t="shared" si="22"/>
        <v>0</v>
      </c>
      <c r="AW20" s="428">
        <f t="shared" si="23"/>
        <v>0</v>
      </c>
      <c r="AX20" s="431"/>
    </row>
    <row r="21" spans="1:50" ht="45" customHeight="1" x14ac:dyDescent="0.25">
      <c r="A21" s="539"/>
      <c r="B21" s="543"/>
      <c r="C21" s="26" t="str">
        <f>[2]SEGUIMIENTO!C87</f>
        <v>SP-PY4.7</v>
      </c>
      <c r="D21" s="259" t="str">
        <f>[2]SEGUIMIENTO!D87</f>
        <v>Movilidad Visitas Institucionales, Nacionales e Internacionales.</v>
      </c>
      <c r="E21" s="26">
        <f>[2]SEGUIMIENTO!E87</f>
        <v>520</v>
      </c>
      <c r="F21" s="425"/>
      <c r="G21" s="36"/>
      <c r="H21" s="425"/>
      <c r="I21" s="5">
        <f>[2]SEGUIMIENTO!I87</f>
        <v>0</v>
      </c>
      <c r="J21" s="5"/>
      <c r="K21" s="6"/>
      <c r="L21" s="393"/>
      <c r="M21" s="96"/>
      <c r="N21" s="393"/>
      <c r="O21" s="96"/>
      <c r="P21" s="393"/>
      <c r="Q21" s="96"/>
      <c r="R21" s="393"/>
      <c r="S21" s="411"/>
      <c r="T21" s="411">
        <f t="shared" si="6"/>
        <v>0</v>
      </c>
      <c r="U21" s="411"/>
      <c r="V21" s="32"/>
      <c r="W21" s="5">
        <v>0</v>
      </c>
      <c r="X21" s="5"/>
      <c r="Y21" s="6"/>
      <c r="Z21" s="393"/>
      <c r="AA21" s="96">
        <f t="shared" si="9"/>
        <v>0</v>
      </c>
      <c r="AB21" s="393"/>
      <c r="AC21" s="96">
        <f t="shared" si="10"/>
        <v>0</v>
      </c>
      <c r="AD21" s="393"/>
      <c r="AE21" s="96">
        <f t="shared" si="11"/>
        <v>0</v>
      </c>
      <c r="AF21" s="393">
        <f t="shared" si="12"/>
        <v>0</v>
      </c>
      <c r="AG21" s="411">
        <f t="shared" si="13"/>
        <v>0</v>
      </c>
      <c r="AH21" s="411">
        <f t="shared" si="14"/>
        <v>0</v>
      </c>
      <c r="AI21" s="411">
        <f t="shared" si="15"/>
        <v>0</v>
      </c>
      <c r="AJ21" s="431"/>
      <c r="AK21" s="5">
        <v>0</v>
      </c>
      <c r="AL21" s="5"/>
      <c r="AM21" s="6"/>
      <c r="AN21" s="393"/>
      <c r="AO21" s="96">
        <f t="shared" si="17"/>
        <v>0</v>
      </c>
      <c r="AP21" s="393"/>
      <c r="AQ21" s="96">
        <f t="shared" si="18"/>
        <v>0</v>
      </c>
      <c r="AR21" s="393"/>
      <c r="AS21" s="96">
        <f t="shared" si="19"/>
        <v>0</v>
      </c>
      <c r="AT21" s="393">
        <f t="shared" si="20"/>
        <v>0</v>
      </c>
      <c r="AU21" s="428">
        <f t="shared" si="21"/>
        <v>0</v>
      </c>
      <c r="AV21" s="428">
        <f t="shared" si="22"/>
        <v>0</v>
      </c>
      <c r="AW21" s="428">
        <f t="shared" si="23"/>
        <v>0</v>
      </c>
      <c r="AX21" s="431"/>
    </row>
    <row r="22" spans="1:50" ht="68.25" customHeight="1" x14ac:dyDescent="0.25">
      <c r="A22" s="539"/>
      <c r="B22" s="541" t="s">
        <v>247</v>
      </c>
      <c r="C22" s="10" t="str">
        <f>[2]Asignación!A83</f>
        <v>SP-PY5.1</v>
      </c>
      <c r="D22" s="259" t="str">
        <f>[2]Asignación!B83</f>
        <v>Proyectos Universidad-Empresa-Estado-Sociedad, financiados y cofinanciados por la Universidad Surcolombiana.</v>
      </c>
      <c r="E22" s="10">
        <f>[2]Asignación!C83</f>
        <v>520</v>
      </c>
      <c r="F22" s="425" t="s">
        <v>89</v>
      </c>
      <c r="G22" s="425">
        <v>1</v>
      </c>
      <c r="H22" s="425" t="s">
        <v>927</v>
      </c>
      <c r="I22" s="5">
        <v>10000000</v>
      </c>
      <c r="J22" s="5">
        <v>0</v>
      </c>
      <c r="K22" s="6">
        <f t="shared" si="0"/>
        <v>10000000</v>
      </c>
      <c r="L22" s="393">
        <v>0</v>
      </c>
      <c r="M22" s="96">
        <f t="shared" si="1"/>
        <v>0</v>
      </c>
      <c r="N22" s="393">
        <v>0</v>
      </c>
      <c r="O22" s="96">
        <f t="shared" si="2"/>
        <v>0</v>
      </c>
      <c r="P22" s="393">
        <v>0</v>
      </c>
      <c r="Q22" s="96">
        <f t="shared" si="3"/>
        <v>0</v>
      </c>
      <c r="R22" s="393">
        <f t="shared" si="4"/>
        <v>0</v>
      </c>
      <c r="S22" s="411">
        <f t="shared" si="5"/>
        <v>0</v>
      </c>
      <c r="T22" s="411">
        <f t="shared" si="6"/>
        <v>0</v>
      </c>
      <c r="U22" s="411">
        <f t="shared" si="7"/>
        <v>0</v>
      </c>
      <c r="V22" s="25" t="s">
        <v>928</v>
      </c>
      <c r="W22" s="5">
        <v>10000000</v>
      </c>
      <c r="X22" s="5">
        <v>9930546</v>
      </c>
      <c r="Y22" s="6">
        <f t="shared" ref="Y22:Y35" si="24">W22-X22</f>
        <v>69454</v>
      </c>
      <c r="Z22" s="393">
        <v>2</v>
      </c>
      <c r="AA22" s="96">
        <f t="shared" si="9"/>
        <v>2</v>
      </c>
      <c r="AB22" s="393">
        <v>0</v>
      </c>
      <c r="AC22" s="96">
        <f t="shared" si="10"/>
        <v>0</v>
      </c>
      <c r="AD22" s="393">
        <v>2</v>
      </c>
      <c r="AE22" s="96">
        <f t="shared" si="11"/>
        <v>2</v>
      </c>
      <c r="AF22" s="393">
        <f t="shared" si="12"/>
        <v>4</v>
      </c>
      <c r="AG22" s="411">
        <f t="shared" si="13"/>
        <v>0.99305460000000001</v>
      </c>
      <c r="AH22" s="411">
        <f t="shared" si="14"/>
        <v>4</v>
      </c>
      <c r="AI22" s="411">
        <f t="shared" si="15"/>
        <v>2.4965272999999999</v>
      </c>
      <c r="AJ22" s="25" t="s">
        <v>929</v>
      </c>
      <c r="AK22" s="5">
        <v>10000000</v>
      </c>
      <c r="AL22" s="5">
        <v>9930546</v>
      </c>
      <c r="AM22" s="6">
        <f t="shared" ref="AM22:AM35" si="25">AK22-AL22</f>
        <v>69454</v>
      </c>
      <c r="AN22" s="393">
        <v>0</v>
      </c>
      <c r="AO22" s="96">
        <f t="shared" si="17"/>
        <v>0</v>
      </c>
      <c r="AP22" s="393">
        <v>0</v>
      </c>
      <c r="AQ22" s="96">
        <f t="shared" si="18"/>
        <v>0</v>
      </c>
      <c r="AR22" s="393">
        <v>0</v>
      </c>
      <c r="AS22" s="96">
        <f t="shared" si="19"/>
        <v>0</v>
      </c>
      <c r="AT22" s="393">
        <f t="shared" si="20"/>
        <v>0</v>
      </c>
      <c r="AU22" s="428">
        <f t="shared" si="21"/>
        <v>0.99305460000000001</v>
      </c>
      <c r="AV22" s="428">
        <f t="shared" si="22"/>
        <v>0</v>
      </c>
      <c r="AW22" s="428">
        <f t="shared" si="23"/>
        <v>0.4965273</v>
      </c>
      <c r="AX22" s="25" t="s">
        <v>930</v>
      </c>
    </row>
    <row r="23" spans="1:50" ht="30.75" customHeight="1" x14ac:dyDescent="0.25">
      <c r="A23" s="539"/>
      <c r="B23" s="542"/>
      <c r="C23" s="10" t="str">
        <f>[2]Asignación!A84</f>
        <v>SP-PY5.2</v>
      </c>
      <c r="D23" s="259" t="str">
        <f>[2]Asignación!B84</f>
        <v>Apoyo a la cofinanciación de proyectos de la Alianza Universidad-Empresa-Estado-Sociedad.</v>
      </c>
      <c r="E23" s="10">
        <f>[2]Asignación!C84</f>
        <v>520</v>
      </c>
      <c r="F23" s="425" t="s">
        <v>89</v>
      </c>
      <c r="G23" s="425">
        <v>1</v>
      </c>
      <c r="H23" s="425" t="s">
        <v>931</v>
      </c>
      <c r="I23" s="5">
        <v>10000000</v>
      </c>
      <c r="J23" s="5">
        <v>0</v>
      </c>
      <c r="K23" s="6">
        <f t="shared" si="0"/>
        <v>10000000</v>
      </c>
      <c r="L23" s="393">
        <v>0</v>
      </c>
      <c r="M23" s="96">
        <f t="shared" si="1"/>
        <v>0</v>
      </c>
      <c r="N23" s="393">
        <v>0</v>
      </c>
      <c r="O23" s="96">
        <f t="shared" si="2"/>
        <v>0</v>
      </c>
      <c r="P23" s="393">
        <v>0</v>
      </c>
      <c r="Q23" s="96">
        <f t="shared" si="3"/>
        <v>0</v>
      </c>
      <c r="R23" s="393">
        <f t="shared" si="4"/>
        <v>0</v>
      </c>
      <c r="S23" s="411">
        <f t="shared" si="5"/>
        <v>0</v>
      </c>
      <c r="T23" s="411">
        <f t="shared" si="6"/>
        <v>0</v>
      </c>
      <c r="U23" s="411">
        <f t="shared" si="7"/>
        <v>0</v>
      </c>
      <c r="V23" s="434" t="s">
        <v>932</v>
      </c>
      <c r="W23" s="5">
        <v>10000000</v>
      </c>
      <c r="X23" s="5">
        <v>3707500</v>
      </c>
      <c r="Y23" s="6">
        <f t="shared" si="24"/>
        <v>6292500</v>
      </c>
      <c r="Z23" s="393">
        <v>0</v>
      </c>
      <c r="AA23" s="96">
        <f t="shared" si="9"/>
        <v>0</v>
      </c>
      <c r="AB23" s="393">
        <v>0</v>
      </c>
      <c r="AC23" s="96">
        <f t="shared" si="10"/>
        <v>0</v>
      </c>
      <c r="AD23" s="393">
        <v>0.3</v>
      </c>
      <c r="AE23" s="96">
        <f t="shared" si="11"/>
        <v>0.3</v>
      </c>
      <c r="AF23" s="393">
        <f t="shared" si="12"/>
        <v>0.3</v>
      </c>
      <c r="AG23" s="411">
        <f t="shared" si="13"/>
        <v>0.37075000000000002</v>
      </c>
      <c r="AH23" s="411">
        <f t="shared" si="14"/>
        <v>0.3</v>
      </c>
      <c r="AI23" s="411">
        <f t="shared" si="15"/>
        <v>0.33537499999999998</v>
      </c>
      <c r="AJ23" s="434" t="s">
        <v>457</v>
      </c>
      <c r="AK23" s="5">
        <v>10000000</v>
      </c>
      <c r="AL23" s="5">
        <v>10000000</v>
      </c>
      <c r="AM23" s="6">
        <f t="shared" si="25"/>
        <v>0</v>
      </c>
      <c r="AN23" s="393">
        <v>0</v>
      </c>
      <c r="AO23" s="96">
        <f t="shared" si="17"/>
        <v>0</v>
      </c>
      <c r="AP23" s="393">
        <v>0</v>
      </c>
      <c r="AQ23" s="96">
        <f t="shared" si="18"/>
        <v>0</v>
      </c>
      <c r="AR23" s="393">
        <v>0.7</v>
      </c>
      <c r="AS23" s="96">
        <f t="shared" si="19"/>
        <v>0.7</v>
      </c>
      <c r="AT23" s="393">
        <f t="shared" si="20"/>
        <v>0.7</v>
      </c>
      <c r="AU23" s="428">
        <f t="shared" si="21"/>
        <v>1</v>
      </c>
      <c r="AV23" s="428">
        <f t="shared" si="22"/>
        <v>0.7</v>
      </c>
      <c r="AW23" s="428">
        <f t="shared" si="23"/>
        <v>0.85</v>
      </c>
      <c r="AX23" s="25" t="s">
        <v>933</v>
      </c>
    </row>
    <row r="24" spans="1:50" ht="30.75" customHeight="1" x14ac:dyDescent="0.25">
      <c r="A24" s="539"/>
      <c r="B24" s="400"/>
      <c r="C24" s="10" t="str">
        <f>[2]Asignación!A85</f>
        <v>SP-PY5.3</v>
      </c>
      <c r="D24" s="259" t="str">
        <f>[2]Asignación!B85</f>
        <v>Estrategia de integración al postconflicto desde la salud regional.</v>
      </c>
      <c r="E24" s="10">
        <f>[2]Asignación!C85</f>
        <v>520</v>
      </c>
      <c r="F24" s="396"/>
      <c r="G24" s="396">
        <v>1</v>
      </c>
      <c r="H24" s="425" t="s">
        <v>934</v>
      </c>
      <c r="I24" s="5">
        <v>0</v>
      </c>
      <c r="J24" s="5">
        <v>0</v>
      </c>
      <c r="K24" s="6">
        <f t="shared" si="0"/>
        <v>0</v>
      </c>
      <c r="L24" s="393">
        <v>0</v>
      </c>
      <c r="M24" s="96">
        <f t="shared" si="1"/>
        <v>0</v>
      </c>
      <c r="N24" s="393">
        <v>0</v>
      </c>
      <c r="O24" s="96">
        <f t="shared" si="2"/>
        <v>0</v>
      </c>
      <c r="P24" s="393">
        <v>0</v>
      </c>
      <c r="Q24" s="96">
        <f t="shared" si="3"/>
        <v>0</v>
      </c>
      <c r="R24" s="393">
        <f t="shared" si="4"/>
        <v>0</v>
      </c>
      <c r="S24" s="411">
        <f t="shared" si="5"/>
        <v>0</v>
      </c>
      <c r="T24" s="411">
        <f t="shared" si="6"/>
        <v>0</v>
      </c>
      <c r="U24" s="411">
        <f t="shared" si="7"/>
        <v>0</v>
      </c>
      <c r="V24" s="434" t="s">
        <v>935</v>
      </c>
      <c r="W24" s="5">
        <v>4826876</v>
      </c>
      <c r="X24" s="5">
        <v>0</v>
      </c>
      <c r="Y24" s="6">
        <f t="shared" si="24"/>
        <v>4826876</v>
      </c>
      <c r="Z24" s="393">
        <v>0</v>
      </c>
      <c r="AA24" s="96">
        <f t="shared" si="9"/>
        <v>0</v>
      </c>
      <c r="AB24" s="393">
        <v>0</v>
      </c>
      <c r="AC24" s="96">
        <f t="shared" si="10"/>
        <v>0</v>
      </c>
      <c r="AD24" s="393">
        <v>0</v>
      </c>
      <c r="AE24" s="96">
        <f t="shared" si="11"/>
        <v>0</v>
      </c>
      <c r="AF24" s="393">
        <f t="shared" si="12"/>
        <v>0</v>
      </c>
      <c r="AG24" s="411">
        <f t="shared" si="13"/>
        <v>0</v>
      </c>
      <c r="AH24" s="411">
        <f t="shared" si="14"/>
        <v>0</v>
      </c>
      <c r="AI24" s="411">
        <f t="shared" si="15"/>
        <v>0</v>
      </c>
      <c r="AJ24" s="434" t="s">
        <v>935</v>
      </c>
      <c r="AK24" s="5">
        <v>4826876</v>
      </c>
      <c r="AL24" s="5">
        <v>0</v>
      </c>
      <c r="AM24" s="6">
        <f t="shared" si="25"/>
        <v>4826876</v>
      </c>
      <c r="AN24" s="393">
        <v>0</v>
      </c>
      <c r="AO24" s="96">
        <f t="shared" si="17"/>
        <v>0</v>
      </c>
      <c r="AP24" s="393">
        <v>0</v>
      </c>
      <c r="AQ24" s="96">
        <f t="shared" si="18"/>
        <v>0</v>
      </c>
      <c r="AR24" s="393">
        <v>1</v>
      </c>
      <c r="AS24" s="96">
        <f t="shared" si="19"/>
        <v>1</v>
      </c>
      <c r="AT24" s="393">
        <f t="shared" si="20"/>
        <v>1</v>
      </c>
      <c r="AU24" s="428">
        <f t="shared" si="21"/>
        <v>0</v>
      </c>
      <c r="AV24" s="428">
        <f t="shared" si="22"/>
        <v>1</v>
      </c>
      <c r="AW24" s="428">
        <f t="shared" si="23"/>
        <v>0.5</v>
      </c>
      <c r="AX24" s="25" t="s">
        <v>936</v>
      </c>
    </row>
    <row r="25" spans="1:50" ht="69.75" customHeight="1" x14ac:dyDescent="0.25">
      <c r="A25" s="539"/>
      <c r="B25" s="541" t="s">
        <v>252</v>
      </c>
      <c r="C25" s="26" t="str">
        <f>[2]SEGUIMIENTO!C91</f>
        <v>SP-PY6.1</v>
      </c>
      <c r="D25" s="259" t="str">
        <f>[2]SEGUIMIENTO!D91</f>
        <v>Apoyo a la gestión de proyectos de agenda social.</v>
      </c>
      <c r="E25" s="26">
        <f>[2]SEGUIMIENTO!E91</f>
        <v>520</v>
      </c>
      <c r="F25" s="396" t="s">
        <v>89</v>
      </c>
      <c r="G25" s="396">
        <v>2</v>
      </c>
      <c r="H25" s="425" t="s">
        <v>116</v>
      </c>
      <c r="I25" s="5">
        <v>20000000</v>
      </c>
      <c r="J25" s="5">
        <v>19993101</v>
      </c>
      <c r="K25" s="6">
        <f t="shared" si="0"/>
        <v>6899</v>
      </c>
      <c r="L25" s="393">
        <v>0</v>
      </c>
      <c r="M25" s="96">
        <f t="shared" si="1"/>
        <v>0</v>
      </c>
      <c r="N25" s="393">
        <v>0</v>
      </c>
      <c r="O25" s="96">
        <f t="shared" si="2"/>
        <v>0</v>
      </c>
      <c r="P25" s="393">
        <v>0</v>
      </c>
      <c r="Q25" s="96">
        <f t="shared" si="3"/>
        <v>0</v>
      </c>
      <c r="R25" s="393">
        <f t="shared" si="4"/>
        <v>0</v>
      </c>
      <c r="S25" s="411">
        <f t="shared" si="5"/>
        <v>0.99965504999999999</v>
      </c>
      <c r="T25" s="411">
        <f t="shared" si="6"/>
        <v>0</v>
      </c>
      <c r="U25" s="411">
        <f t="shared" si="7"/>
        <v>0.49982752499999999</v>
      </c>
      <c r="V25" s="431" t="s">
        <v>458</v>
      </c>
      <c r="W25" s="5">
        <v>20000000</v>
      </c>
      <c r="X25" s="5">
        <v>19993101</v>
      </c>
      <c r="Y25" s="6">
        <f t="shared" si="24"/>
        <v>6899</v>
      </c>
      <c r="Z25" s="393">
        <v>0</v>
      </c>
      <c r="AA25" s="96">
        <f t="shared" si="9"/>
        <v>0</v>
      </c>
      <c r="AB25" s="393">
        <v>0</v>
      </c>
      <c r="AC25" s="96">
        <f t="shared" si="10"/>
        <v>0</v>
      </c>
      <c r="AD25" s="393">
        <v>0</v>
      </c>
      <c r="AE25" s="96">
        <f t="shared" si="11"/>
        <v>0</v>
      </c>
      <c r="AF25" s="393">
        <f t="shared" si="12"/>
        <v>0</v>
      </c>
      <c r="AG25" s="411">
        <f t="shared" si="13"/>
        <v>0.99965504999999999</v>
      </c>
      <c r="AH25" s="411">
        <f t="shared" si="14"/>
        <v>0</v>
      </c>
      <c r="AI25" s="411">
        <f t="shared" si="15"/>
        <v>0.49982752499999999</v>
      </c>
      <c r="AJ25" s="431" t="s">
        <v>458</v>
      </c>
      <c r="AK25" s="5">
        <v>60000000</v>
      </c>
      <c r="AL25" s="5">
        <v>39343101</v>
      </c>
      <c r="AM25" s="6">
        <f t="shared" si="25"/>
        <v>20656899</v>
      </c>
      <c r="AN25" s="393">
        <v>0</v>
      </c>
      <c r="AO25" s="96">
        <f t="shared" si="17"/>
        <v>0</v>
      </c>
      <c r="AP25" s="393">
        <v>0</v>
      </c>
      <c r="AQ25" s="96">
        <f t="shared" si="18"/>
        <v>0</v>
      </c>
      <c r="AR25" s="393">
        <v>1</v>
      </c>
      <c r="AS25" s="96">
        <f t="shared" si="19"/>
        <v>0.5</v>
      </c>
      <c r="AT25" s="393">
        <f t="shared" si="20"/>
        <v>1</v>
      </c>
      <c r="AU25" s="428">
        <f t="shared" si="21"/>
        <v>0.65571835000000001</v>
      </c>
      <c r="AV25" s="428">
        <f t="shared" si="22"/>
        <v>0.5</v>
      </c>
      <c r="AW25" s="428">
        <f t="shared" si="23"/>
        <v>0.57785917499999995</v>
      </c>
      <c r="AX25" s="431" t="s">
        <v>937</v>
      </c>
    </row>
    <row r="26" spans="1:50" ht="28.5" x14ac:dyDescent="0.25">
      <c r="A26" s="539"/>
      <c r="B26" s="542"/>
      <c r="C26" s="26" t="str">
        <f>[2]SEGUIMIENTO!C92</f>
        <v>SP-PY6.2</v>
      </c>
      <c r="D26" s="259" t="str">
        <f>[2]SEGUIMIENTO!D92</f>
        <v>Creación y puesta en funcionamiento del Observatorio Regional de Políticas Públicas.</v>
      </c>
      <c r="E26" s="26">
        <f>[2]SEGUIMIENTO!E92</f>
        <v>520</v>
      </c>
      <c r="F26" s="396" t="s">
        <v>89</v>
      </c>
      <c r="G26" s="396"/>
      <c r="H26" s="396"/>
      <c r="I26" s="5">
        <v>0</v>
      </c>
      <c r="J26" s="5">
        <f>[2]Asignación!K87</f>
        <v>0</v>
      </c>
      <c r="K26" s="6">
        <f t="shared" si="0"/>
        <v>0</v>
      </c>
      <c r="L26" s="393"/>
      <c r="M26" s="96">
        <f t="shared" si="1"/>
        <v>0</v>
      </c>
      <c r="N26" s="393"/>
      <c r="O26" s="96">
        <f t="shared" si="2"/>
        <v>0</v>
      </c>
      <c r="P26" s="393"/>
      <c r="Q26" s="96">
        <f t="shared" si="3"/>
        <v>0</v>
      </c>
      <c r="R26" s="393">
        <f t="shared" si="4"/>
        <v>0</v>
      </c>
      <c r="S26" s="411">
        <f t="shared" si="5"/>
        <v>0</v>
      </c>
      <c r="T26" s="411">
        <f t="shared" si="6"/>
        <v>0</v>
      </c>
      <c r="U26" s="411">
        <f t="shared" si="7"/>
        <v>0</v>
      </c>
      <c r="V26" s="7"/>
      <c r="W26" s="5">
        <v>0</v>
      </c>
      <c r="X26" s="5">
        <f>[2]Asignación!Y87</f>
        <v>0</v>
      </c>
      <c r="Y26" s="6">
        <f t="shared" si="24"/>
        <v>0</v>
      </c>
      <c r="Z26" s="393"/>
      <c r="AA26" s="96">
        <f t="shared" si="9"/>
        <v>0</v>
      </c>
      <c r="AB26" s="393"/>
      <c r="AC26" s="96">
        <f t="shared" si="10"/>
        <v>0</v>
      </c>
      <c r="AD26" s="393"/>
      <c r="AE26" s="96">
        <f t="shared" si="11"/>
        <v>0</v>
      </c>
      <c r="AF26" s="393">
        <f t="shared" si="12"/>
        <v>0</v>
      </c>
      <c r="AG26" s="411">
        <f t="shared" si="13"/>
        <v>0</v>
      </c>
      <c r="AH26" s="411">
        <f t="shared" si="14"/>
        <v>0</v>
      </c>
      <c r="AI26" s="411">
        <f t="shared" si="15"/>
        <v>0</v>
      </c>
      <c r="AJ26" s="434"/>
      <c r="AK26" s="5">
        <v>0</v>
      </c>
      <c r="AL26" s="5"/>
      <c r="AM26" s="6">
        <f t="shared" si="25"/>
        <v>0</v>
      </c>
      <c r="AN26" s="393"/>
      <c r="AO26" s="96">
        <f t="shared" si="17"/>
        <v>0</v>
      </c>
      <c r="AP26" s="393"/>
      <c r="AQ26" s="96">
        <f t="shared" si="18"/>
        <v>0</v>
      </c>
      <c r="AR26" s="393"/>
      <c r="AS26" s="96">
        <f t="shared" si="19"/>
        <v>0</v>
      </c>
      <c r="AT26" s="393">
        <f t="shared" si="20"/>
        <v>0</v>
      </c>
      <c r="AU26" s="428">
        <f t="shared" si="21"/>
        <v>0</v>
      </c>
      <c r="AV26" s="428">
        <f t="shared" si="22"/>
        <v>0</v>
      </c>
      <c r="AW26" s="428">
        <f t="shared" si="23"/>
        <v>0</v>
      </c>
      <c r="AX26" s="434"/>
    </row>
    <row r="27" spans="1:50" ht="30.75" customHeight="1" x14ac:dyDescent="0.25">
      <c r="A27" s="539"/>
      <c r="B27" s="542"/>
      <c r="C27" s="26" t="str">
        <f>[2]SEGUIMIENTO!C93</f>
        <v>SP-PY6.3</v>
      </c>
      <c r="D27" s="259" t="str">
        <f>[2]SEGUIMIENTO!D93</f>
        <v>Creación y puesta en funcionamiento del Instituto de Estudios Surcolombianos.</v>
      </c>
      <c r="E27" s="26">
        <f>[2]SEGUIMIENTO!E93</f>
        <v>520</v>
      </c>
      <c r="F27" s="396" t="s">
        <v>89</v>
      </c>
      <c r="G27" s="396"/>
      <c r="H27" s="396"/>
      <c r="I27" s="5">
        <v>0</v>
      </c>
      <c r="J27" s="5">
        <f>[2]Asignación!K88</f>
        <v>0</v>
      </c>
      <c r="K27" s="6">
        <f t="shared" si="0"/>
        <v>0</v>
      </c>
      <c r="L27" s="393"/>
      <c r="M27" s="96">
        <f t="shared" si="1"/>
        <v>0</v>
      </c>
      <c r="N27" s="393"/>
      <c r="O27" s="96">
        <f t="shared" si="2"/>
        <v>0</v>
      </c>
      <c r="P27" s="393"/>
      <c r="Q27" s="96">
        <f t="shared" si="3"/>
        <v>0</v>
      </c>
      <c r="R27" s="393">
        <f t="shared" si="4"/>
        <v>0</v>
      </c>
      <c r="S27" s="411">
        <f t="shared" si="5"/>
        <v>0</v>
      </c>
      <c r="T27" s="411">
        <f t="shared" si="6"/>
        <v>0</v>
      </c>
      <c r="U27" s="411">
        <f t="shared" si="7"/>
        <v>0</v>
      </c>
      <c r="V27" s="7"/>
      <c r="W27" s="5">
        <v>0</v>
      </c>
      <c r="X27" s="5">
        <f>[2]Asignación!Y88</f>
        <v>0</v>
      </c>
      <c r="Y27" s="6">
        <f t="shared" si="24"/>
        <v>0</v>
      </c>
      <c r="Z27" s="393"/>
      <c r="AA27" s="96">
        <f t="shared" si="9"/>
        <v>0</v>
      </c>
      <c r="AB27" s="393"/>
      <c r="AC27" s="96">
        <f t="shared" si="10"/>
        <v>0</v>
      </c>
      <c r="AD27" s="393"/>
      <c r="AE27" s="96">
        <f t="shared" si="11"/>
        <v>0</v>
      </c>
      <c r="AF27" s="393">
        <f t="shared" si="12"/>
        <v>0</v>
      </c>
      <c r="AG27" s="411">
        <f t="shared" si="13"/>
        <v>0</v>
      </c>
      <c r="AH27" s="411">
        <f t="shared" si="14"/>
        <v>0</v>
      </c>
      <c r="AI27" s="411">
        <f t="shared" si="15"/>
        <v>0</v>
      </c>
      <c r="AJ27" s="434"/>
      <c r="AK27" s="5">
        <v>0</v>
      </c>
      <c r="AL27" s="5"/>
      <c r="AM27" s="6">
        <f t="shared" si="25"/>
        <v>0</v>
      </c>
      <c r="AN27" s="393"/>
      <c r="AO27" s="96">
        <f t="shared" si="17"/>
        <v>0</v>
      </c>
      <c r="AP27" s="393"/>
      <c r="AQ27" s="96">
        <f t="shared" si="18"/>
        <v>0</v>
      </c>
      <c r="AR27" s="393"/>
      <c r="AS27" s="96">
        <f t="shared" si="19"/>
        <v>0</v>
      </c>
      <c r="AT27" s="393">
        <f t="shared" si="20"/>
        <v>0</v>
      </c>
      <c r="AU27" s="428">
        <f t="shared" si="21"/>
        <v>0</v>
      </c>
      <c r="AV27" s="428">
        <f t="shared" si="22"/>
        <v>0</v>
      </c>
      <c r="AW27" s="428">
        <f t="shared" si="23"/>
        <v>0</v>
      </c>
      <c r="AX27" s="434"/>
    </row>
    <row r="28" spans="1:50" ht="21" customHeight="1" x14ac:dyDescent="0.25">
      <c r="A28" s="539"/>
      <c r="B28" s="543"/>
      <c r="C28" s="26" t="str">
        <f>[2]SEGUIMIENTO!C94</f>
        <v>SP-PY6.4</v>
      </c>
      <c r="D28" s="259" t="str">
        <f>[2]SEGUIMIENTO!D94</f>
        <v>Apoyo a la gestión de proyectos de agenda social.</v>
      </c>
      <c r="E28" s="26">
        <f>[2]SEGUIMIENTO!E94</f>
        <v>520</v>
      </c>
      <c r="F28" s="396" t="s">
        <v>89</v>
      </c>
      <c r="G28" s="396"/>
      <c r="H28" s="396"/>
      <c r="I28" s="5">
        <v>0</v>
      </c>
      <c r="J28" s="5">
        <f>[2]Asignación!K89</f>
        <v>0</v>
      </c>
      <c r="K28" s="6">
        <f t="shared" si="0"/>
        <v>0</v>
      </c>
      <c r="L28" s="393"/>
      <c r="M28" s="96">
        <f t="shared" si="1"/>
        <v>0</v>
      </c>
      <c r="N28" s="393"/>
      <c r="O28" s="96">
        <f t="shared" si="2"/>
        <v>0</v>
      </c>
      <c r="P28" s="393"/>
      <c r="Q28" s="96">
        <f t="shared" si="3"/>
        <v>0</v>
      </c>
      <c r="R28" s="393">
        <f t="shared" si="4"/>
        <v>0</v>
      </c>
      <c r="S28" s="411">
        <f t="shared" si="5"/>
        <v>0</v>
      </c>
      <c r="T28" s="411">
        <f t="shared" si="6"/>
        <v>0</v>
      </c>
      <c r="U28" s="411">
        <f t="shared" si="7"/>
        <v>0</v>
      </c>
      <c r="V28" s="7"/>
      <c r="W28" s="5">
        <v>0</v>
      </c>
      <c r="X28" s="5">
        <f>[2]Asignación!Y89</f>
        <v>0</v>
      </c>
      <c r="Y28" s="6">
        <f t="shared" si="24"/>
        <v>0</v>
      </c>
      <c r="Z28" s="393"/>
      <c r="AA28" s="96">
        <f t="shared" si="9"/>
        <v>0</v>
      </c>
      <c r="AB28" s="393"/>
      <c r="AC28" s="96">
        <f t="shared" si="10"/>
        <v>0</v>
      </c>
      <c r="AD28" s="393"/>
      <c r="AE28" s="96">
        <f t="shared" si="11"/>
        <v>0</v>
      </c>
      <c r="AF28" s="393">
        <f t="shared" si="12"/>
        <v>0</v>
      </c>
      <c r="AG28" s="411">
        <f t="shared" si="13"/>
        <v>0</v>
      </c>
      <c r="AH28" s="411">
        <f t="shared" si="14"/>
        <v>0</v>
      </c>
      <c r="AI28" s="411">
        <f t="shared" si="15"/>
        <v>0</v>
      </c>
      <c r="AJ28" s="434"/>
      <c r="AK28" s="5">
        <v>0</v>
      </c>
      <c r="AL28" s="5"/>
      <c r="AM28" s="6">
        <f t="shared" si="25"/>
        <v>0</v>
      </c>
      <c r="AN28" s="393"/>
      <c r="AO28" s="96">
        <f t="shared" si="17"/>
        <v>0</v>
      </c>
      <c r="AP28" s="393"/>
      <c r="AQ28" s="96">
        <f t="shared" si="18"/>
        <v>0</v>
      </c>
      <c r="AR28" s="393"/>
      <c r="AS28" s="96">
        <f t="shared" si="19"/>
        <v>0</v>
      </c>
      <c r="AT28" s="393">
        <f t="shared" si="20"/>
        <v>0</v>
      </c>
      <c r="AU28" s="428">
        <f t="shared" si="21"/>
        <v>0</v>
      </c>
      <c r="AV28" s="428">
        <f t="shared" si="22"/>
        <v>0</v>
      </c>
      <c r="AW28" s="428">
        <f t="shared" si="23"/>
        <v>0</v>
      </c>
      <c r="AX28" s="434"/>
    </row>
    <row r="29" spans="1:50" s="28" customFormat="1" ht="51" customHeight="1" x14ac:dyDescent="0.25">
      <c r="A29" s="539" t="s">
        <v>207</v>
      </c>
      <c r="B29" s="535" t="s">
        <v>260</v>
      </c>
      <c r="C29" s="39" t="str">
        <f>[2]SEGUIMIENTO!C95</f>
        <v>SP-PY7.1</v>
      </c>
      <c r="D29" s="259" t="str">
        <f>[2]SEGUIMIENTO!D95</f>
        <v>Apoyo a los procesos de integración de la Educación Superior con la Educación Media, el trabajo y el desarrollo humano.</v>
      </c>
      <c r="E29" s="39">
        <f>[2]SEGUIMIENTO!E95</f>
        <v>520</v>
      </c>
      <c r="F29" s="396" t="s">
        <v>89</v>
      </c>
      <c r="G29" s="396">
        <v>1</v>
      </c>
      <c r="H29" s="396" t="s">
        <v>120</v>
      </c>
      <c r="I29" s="5">
        <v>5000000</v>
      </c>
      <c r="J29" s="5">
        <v>0</v>
      </c>
      <c r="K29" s="6">
        <f t="shared" si="0"/>
        <v>5000000</v>
      </c>
      <c r="L29" s="45">
        <v>0</v>
      </c>
      <c r="M29" s="96">
        <f t="shared" si="1"/>
        <v>0</v>
      </c>
      <c r="N29" s="45">
        <v>0</v>
      </c>
      <c r="O29" s="96">
        <f t="shared" si="2"/>
        <v>0</v>
      </c>
      <c r="P29" s="45">
        <v>0</v>
      </c>
      <c r="Q29" s="96">
        <f t="shared" si="3"/>
        <v>0</v>
      </c>
      <c r="R29" s="393">
        <f t="shared" si="4"/>
        <v>0</v>
      </c>
      <c r="S29" s="411">
        <f t="shared" si="5"/>
        <v>0</v>
      </c>
      <c r="T29" s="411">
        <f t="shared" si="6"/>
        <v>0</v>
      </c>
      <c r="U29" s="411">
        <f t="shared" si="7"/>
        <v>0</v>
      </c>
      <c r="V29" s="32" t="s">
        <v>459</v>
      </c>
      <c r="W29" s="5">
        <v>5000000</v>
      </c>
      <c r="X29" s="5">
        <v>5000000</v>
      </c>
      <c r="Y29" s="6">
        <f t="shared" si="24"/>
        <v>0</v>
      </c>
      <c r="Z29" s="45">
        <v>0</v>
      </c>
      <c r="AA29" s="96">
        <f t="shared" si="9"/>
        <v>0</v>
      </c>
      <c r="AB29" s="45">
        <v>0</v>
      </c>
      <c r="AC29" s="96">
        <f t="shared" si="10"/>
        <v>0</v>
      </c>
      <c r="AD29" s="45">
        <v>0.3</v>
      </c>
      <c r="AE29" s="96">
        <f t="shared" si="11"/>
        <v>0.3</v>
      </c>
      <c r="AF29" s="393">
        <f t="shared" si="12"/>
        <v>0.3</v>
      </c>
      <c r="AG29" s="411">
        <f t="shared" si="13"/>
        <v>1</v>
      </c>
      <c r="AH29" s="411">
        <f t="shared" si="14"/>
        <v>0.3</v>
      </c>
      <c r="AI29" s="411">
        <f t="shared" si="15"/>
        <v>0.65</v>
      </c>
      <c r="AJ29" s="431" t="s">
        <v>938</v>
      </c>
      <c r="AK29" s="5">
        <v>5000000</v>
      </c>
      <c r="AL29" s="5">
        <v>5000000</v>
      </c>
      <c r="AM29" s="6">
        <f t="shared" si="25"/>
        <v>0</v>
      </c>
      <c r="AN29" s="45">
        <v>0</v>
      </c>
      <c r="AO29" s="96">
        <f t="shared" si="17"/>
        <v>0</v>
      </c>
      <c r="AP29" s="45">
        <v>0</v>
      </c>
      <c r="AQ29" s="96">
        <f t="shared" si="18"/>
        <v>0</v>
      </c>
      <c r="AR29" s="45">
        <v>0.4</v>
      </c>
      <c r="AS29" s="96">
        <f t="shared" si="19"/>
        <v>0.4</v>
      </c>
      <c r="AT29" s="393">
        <f t="shared" si="20"/>
        <v>0.4</v>
      </c>
      <c r="AU29" s="428">
        <f t="shared" si="21"/>
        <v>1</v>
      </c>
      <c r="AV29" s="428">
        <f t="shared" si="22"/>
        <v>0.4</v>
      </c>
      <c r="AW29" s="428">
        <f t="shared" si="23"/>
        <v>0.7</v>
      </c>
      <c r="AX29" s="431" t="s">
        <v>939</v>
      </c>
    </row>
    <row r="30" spans="1:50" s="28" customFormat="1" ht="51.75" customHeight="1" x14ac:dyDescent="0.25">
      <c r="A30" s="539"/>
      <c r="B30" s="544"/>
      <c r="C30" s="39" t="str">
        <f>[2]SEGUIMIENTO!C96</f>
        <v>SP-PY7.2</v>
      </c>
      <c r="D30" s="259" t="str">
        <f>[2]SEGUIMIENTO!D96</f>
        <v>Programas de formación para el trabajo y el desarrollo humano con procesos de interacción de la Educación Superior con la Educación Media.</v>
      </c>
      <c r="E30" s="39">
        <f>[2]SEGUIMIENTO!E96</f>
        <v>520</v>
      </c>
      <c r="F30" s="396" t="s">
        <v>89</v>
      </c>
      <c r="G30" s="396">
        <v>1</v>
      </c>
      <c r="H30" s="396" t="s">
        <v>265</v>
      </c>
      <c r="I30" s="5">
        <v>5000000</v>
      </c>
      <c r="J30" s="5">
        <v>0</v>
      </c>
      <c r="K30" s="6">
        <f t="shared" si="0"/>
        <v>5000000</v>
      </c>
      <c r="L30" s="45">
        <v>0</v>
      </c>
      <c r="M30" s="96">
        <f t="shared" si="1"/>
        <v>0</v>
      </c>
      <c r="N30" s="45">
        <v>0</v>
      </c>
      <c r="O30" s="96">
        <f t="shared" si="2"/>
        <v>0</v>
      </c>
      <c r="P30" s="45">
        <v>0</v>
      </c>
      <c r="Q30" s="96">
        <f t="shared" si="3"/>
        <v>0</v>
      </c>
      <c r="R30" s="393">
        <f t="shared" si="4"/>
        <v>0</v>
      </c>
      <c r="S30" s="411">
        <f t="shared" si="5"/>
        <v>0</v>
      </c>
      <c r="T30" s="411">
        <f t="shared" si="6"/>
        <v>0</v>
      </c>
      <c r="U30" s="411">
        <f t="shared" si="7"/>
        <v>0</v>
      </c>
      <c r="V30" s="431" t="s">
        <v>460</v>
      </c>
      <c r="W30" s="5">
        <v>5000000</v>
      </c>
      <c r="X30" s="5">
        <v>0</v>
      </c>
      <c r="Y30" s="6">
        <f t="shared" si="24"/>
        <v>5000000</v>
      </c>
      <c r="Z30" s="45">
        <v>0</v>
      </c>
      <c r="AA30" s="96">
        <f t="shared" si="9"/>
        <v>0</v>
      </c>
      <c r="AB30" s="45">
        <v>0</v>
      </c>
      <c r="AC30" s="96">
        <f t="shared" si="10"/>
        <v>0</v>
      </c>
      <c r="AD30" s="45">
        <v>0</v>
      </c>
      <c r="AE30" s="96">
        <f t="shared" si="11"/>
        <v>0</v>
      </c>
      <c r="AF30" s="393">
        <f t="shared" si="12"/>
        <v>0</v>
      </c>
      <c r="AG30" s="411">
        <f t="shared" si="13"/>
        <v>0</v>
      </c>
      <c r="AH30" s="411">
        <f t="shared" si="14"/>
        <v>0</v>
      </c>
      <c r="AI30" s="411">
        <f t="shared" si="15"/>
        <v>0</v>
      </c>
      <c r="AJ30" s="431" t="s">
        <v>460</v>
      </c>
      <c r="AK30" s="5">
        <v>5000000</v>
      </c>
      <c r="AL30" s="5">
        <v>0</v>
      </c>
      <c r="AM30" s="6">
        <f t="shared" si="25"/>
        <v>5000000</v>
      </c>
      <c r="AN30" s="45">
        <v>0</v>
      </c>
      <c r="AO30" s="96">
        <f t="shared" si="17"/>
        <v>0</v>
      </c>
      <c r="AP30" s="45">
        <v>0</v>
      </c>
      <c r="AQ30" s="96">
        <f t="shared" si="18"/>
        <v>0</v>
      </c>
      <c r="AR30" s="45">
        <v>0</v>
      </c>
      <c r="AS30" s="96">
        <f t="shared" si="19"/>
        <v>0</v>
      </c>
      <c r="AT30" s="393">
        <f t="shared" si="20"/>
        <v>0</v>
      </c>
      <c r="AU30" s="428">
        <f t="shared" si="21"/>
        <v>0</v>
      </c>
      <c r="AV30" s="428">
        <f t="shared" si="22"/>
        <v>0</v>
      </c>
      <c r="AW30" s="428">
        <f t="shared" si="23"/>
        <v>0</v>
      </c>
      <c r="AX30" s="431" t="s">
        <v>940</v>
      </c>
    </row>
    <row r="31" spans="1:50" ht="59.25" hidden="1" customHeight="1" x14ac:dyDescent="0.25">
      <c r="A31" s="539"/>
      <c r="B31" s="535" t="s">
        <v>266</v>
      </c>
      <c r="C31" s="26" t="s">
        <v>267</v>
      </c>
      <c r="D31" s="259" t="s">
        <v>268</v>
      </c>
      <c r="E31" s="423">
        <v>520</v>
      </c>
      <c r="F31" s="396" t="s">
        <v>89</v>
      </c>
      <c r="G31" s="396">
        <v>1</v>
      </c>
      <c r="H31" s="396" t="s">
        <v>269</v>
      </c>
      <c r="I31" s="5">
        <v>0</v>
      </c>
      <c r="J31" s="5">
        <v>0</v>
      </c>
      <c r="K31" s="6">
        <f t="shared" si="0"/>
        <v>0</v>
      </c>
      <c r="L31" s="393"/>
      <c r="M31" s="96">
        <f t="shared" si="1"/>
        <v>0</v>
      </c>
      <c r="N31" s="393"/>
      <c r="O31" s="96">
        <f t="shared" si="2"/>
        <v>0</v>
      </c>
      <c r="P31" s="393"/>
      <c r="Q31" s="96">
        <f t="shared" si="3"/>
        <v>0</v>
      </c>
      <c r="R31" s="393">
        <f t="shared" si="4"/>
        <v>0</v>
      </c>
      <c r="S31" s="411">
        <f t="shared" si="5"/>
        <v>0</v>
      </c>
      <c r="T31" s="411">
        <f t="shared" si="6"/>
        <v>0</v>
      </c>
      <c r="U31" s="411">
        <f t="shared" si="7"/>
        <v>0</v>
      </c>
      <c r="V31" s="32" t="s">
        <v>451</v>
      </c>
      <c r="W31" s="5">
        <v>0</v>
      </c>
      <c r="X31" s="5">
        <v>0</v>
      </c>
      <c r="Y31" s="6">
        <f t="shared" si="24"/>
        <v>0</v>
      </c>
      <c r="Z31" s="393"/>
      <c r="AA31" s="96">
        <f t="shared" si="9"/>
        <v>0</v>
      </c>
      <c r="AB31" s="393"/>
      <c r="AC31" s="96">
        <f t="shared" si="10"/>
        <v>0</v>
      </c>
      <c r="AD31" s="393"/>
      <c r="AE31" s="96">
        <f t="shared" si="11"/>
        <v>0</v>
      </c>
      <c r="AF31" s="393">
        <f t="shared" si="12"/>
        <v>0</v>
      </c>
      <c r="AG31" s="411">
        <f t="shared" si="13"/>
        <v>0</v>
      </c>
      <c r="AH31" s="411">
        <f t="shared" si="14"/>
        <v>0</v>
      </c>
      <c r="AI31" s="411">
        <f t="shared" si="15"/>
        <v>0</v>
      </c>
      <c r="AJ31" s="431" t="s">
        <v>451</v>
      </c>
      <c r="AK31" s="5">
        <v>0</v>
      </c>
      <c r="AL31" s="5"/>
      <c r="AM31" s="6">
        <f t="shared" si="25"/>
        <v>0</v>
      </c>
      <c r="AN31" s="393"/>
      <c r="AO31" s="96">
        <f t="shared" si="17"/>
        <v>0</v>
      </c>
      <c r="AP31" s="393"/>
      <c r="AQ31" s="96">
        <f t="shared" si="18"/>
        <v>0</v>
      </c>
      <c r="AR31" s="393"/>
      <c r="AS31" s="96">
        <f t="shared" si="19"/>
        <v>0</v>
      </c>
      <c r="AT31" s="393">
        <f t="shared" si="20"/>
        <v>0</v>
      </c>
      <c r="AU31" s="428">
        <f t="shared" si="21"/>
        <v>0</v>
      </c>
      <c r="AV31" s="428">
        <f t="shared" si="22"/>
        <v>0</v>
      </c>
      <c r="AW31" s="428">
        <f t="shared" si="23"/>
        <v>0</v>
      </c>
      <c r="AX31" s="431"/>
    </row>
    <row r="32" spans="1:50" ht="72" customHeight="1" x14ac:dyDescent="0.25">
      <c r="A32" s="539"/>
      <c r="B32" s="536"/>
      <c r="C32" s="26" t="str">
        <f>[2]SEGUIMIENTO!C97</f>
        <v>SP-PY8.1</v>
      </c>
      <c r="D32" s="259" t="str">
        <f>[2]SEGUIMIENTO!D97</f>
        <v>Elaboracion y puesta en marcha del  Plan estratégico de comunicaciones.</v>
      </c>
      <c r="E32" s="26">
        <f>[2]SEGUIMIENTO!E97</f>
        <v>520</v>
      </c>
      <c r="F32" s="396" t="s">
        <v>89</v>
      </c>
      <c r="G32" s="396">
        <v>1</v>
      </c>
      <c r="H32" s="396" t="s">
        <v>941</v>
      </c>
      <c r="I32" s="5">
        <v>6000000</v>
      </c>
      <c r="J32" s="5">
        <v>0</v>
      </c>
      <c r="K32" s="6">
        <f t="shared" si="0"/>
        <v>6000000</v>
      </c>
      <c r="L32" s="393">
        <v>0</v>
      </c>
      <c r="M32" s="96">
        <f t="shared" si="1"/>
        <v>0</v>
      </c>
      <c r="N32" s="393">
        <v>0</v>
      </c>
      <c r="O32" s="96">
        <f t="shared" si="2"/>
        <v>0</v>
      </c>
      <c r="P32" s="393">
        <v>0</v>
      </c>
      <c r="Q32" s="96">
        <f t="shared" si="3"/>
        <v>0</v>
      </c>
      <c r="R32" s="393">
        <f t="shared" si="4"/>
        <v>0</v>
      </c>
      <c r="S32" s="411">
        <f t="shared" si="5"/>
        <v>0</v>
      </c>
      <c r="T32" s="411">
        <f t="shared" si="6"/>
        <v>0</v>
      </c>
      <c r="U32" s="411">
        <f t="shared" si="7"/>
        <v>0</v>
      </c>
      <c r="V32" s="431" t="s">
        <v>451</v>
      </c>
      <c r="W32" s="5">
        <v>0</v>
      </c>
      <c r="X32" s="5">
        <v>0</v>
      </c>
      <c r="Y32" s="6">
        <f t="shared" si="24"/>
        <v>0</v>
      </c>
      <c r="Z32" s="393">
        <v>0</v>
      </c>
      <c r="AA32" s="96">
        <f t="shared" si="9"/>
        <v>0</v>
      </c>
      <c r="AB32" s="393">
        <v>0</v>
      </c>
      <c r="AC32" s="96">
        <f t="shared" si="10"/>
        <v>0</v>
      </c>
      <c r="AD32" s="393">
        <v>0</v>
      </c>
      <c r="AE32" s="96">
        <f t="shared" si="11"/>
        <v>0</v>
      </c>
      <c r="AF32" s="393">
        <f t="shared" si="12"/>
        <v>0</v>
      </c>
      <c r="AG32" s="411">
        <f t="shared" si="13"/>
        <v>0</v>
      </c>
      <c r="AH32" s="411">
        <f t="shared" si="14"/>
        <v>0</v>
      </c>
      <c r="AI32" s="411">
        <f t="shared" si="15"/>
        <v>0</v>
      </c>
      <c r="AJ32" s="431" t="s">
        <v>461</v>
      </c>
      <c r="AK32" s="5">
        <v>0</v>
      </c>
      <c r="AL32" s="5">
        <v>0</v>
      </c>
      <c r="AM32" s="6">
        <f t="shared" si="25"/>
        <v>0</v>
      </c>
      <c r="AN32" s="393">
        <v>0</v>
      </c>
      <c r="AO32" s="96">
        <f t="shared" si="17"/>
        <v>0</v>
      </c>
      <c r="AP32" s="393">
        <v>0</v>
      </c>
      <c r="AQ32" s="96">
        <f t="shared" si="18"/>
        <v>0</v>
      </c>
      <c r="AR32" s="393">
        <v>0.5</v>
      </c>
      <c r="AS32" s="96">
        <f t="shared" si="19"/>
        <v>0.5</v>
      </c>
      <c r="AT32" s="393">
        <f t="shared" si="20"/>
        <v>0.5</v>
      </c>
      <c r="AU32" s="428">
        <f t="shared" si="21"/>
        <v>0</v>
      </c>
      <c r="AV32" s="428">
        <f t="shared" si="22"/>
        <v>0.5</v>
      </c>
      <c r="AW32" s="428">
        <f t="shared" si="23"/>
        <v>0.25</v>
      </c>
      <c r="AX32" s="431" t="s">
        <v>942</v>
      </c>
    </row>
    <row r="33" spans="1:50" ht="60.75" customHeight="1" x14ac:dyDescent="0.25">
      <c r="A33" s="539"/>
      <c r="B33" s="536"/>
      <c r="C33" s="26" t="str">
        <f>[2]SEGUIMIENTO!C98</f>
        <v>SP-PY8.2</v>
      </c>
      <c r="D33" s="259" t="str">
        <f>[2]SEGUIMIENTO!D98</f>
        <v>Renovación Hosting y  elaboración de revista para comunicaciones y divulgación de actividades resultado de proyección social.</v>
      </c>
      <c r="E33" s="26">
        <f>[2]SEGUIMIENTO!E98</f>
        <v>520</v>
      </c>
      <c r="F33" s="396" t="s">
        <v>89</v>
      </c>
      <c r="G33" s="396">
        <v>1</v>
      </c>
      <c r="H33" s="396" t="s">
        <v>943</v>
      </c>
      <c r="I33" s="5">
        <v>6000000</v>
      </c>
      <c r="J33" s="5">
        <v>0</v>
      </c>
      <c r="K33" s="6">
        <f t="shared" si="0"/>
        <v>6000000</v>
      </c>
      <c r="L33" s="393">
        <v>0</v>
      </c>
      <c r="M33" s="96">
        <f t="shared" si="1"/>
        <v>0</v>
      </c>
      <c r="N33" s="393">
        <v>0</v>
      </c>
      <c r="O33" s="96">
        <f t="shared" si="2"/>
        <v>0</v>
      </c>
      <c r="P33" s="393">
        <v>0</v>
      </c>
      <c r="Q33" s="96">
        <f t="shared" si="3"/>
        <v>0</v>
      </c>
      <c r="R33" s="393">
        <f t="shared" si="4"/>
        <v>0</v>
      </c>
      <c r="S33" s="411">
        <f t="shared" si="5"/>
        <v>0</v>
      </c>
      <c r="T33" s="411">
        <f t="shared" si="6"/>
        <v>0</v>
      </c>
      <c r="U33" s="411">
        <f t="shared" si="7"/>
        <v>0</v>
      </c>
      <c r="V33" s="431" t="s">
        <v>461</v>
      </c>
      <c r="W33" s="5">
        <v>200000</v>
      </c>
      <c r="X33" s="5">
        <v>200000</v>
      </c>
      <c r="Y33" s="6">
        <f t="shared" si="24"/>
        <v>0</v>
      </c>
      <c r="Z33" s="393">
        <v>0</v>
      </c>
      <c r="AA33" s="96">
        <f t="shared" si="9"/>
        <v>0</v>
      </c>
      <c r="AB33" s="393">
        <v>0</v>
      </c>
      <c r="AC33" s="96">
        <f t="shared" si="10"/>
        <v>0</v>
      </c>
      <c r="AD33" s="393">
        <v>1</v>
      </c>
      <c r="AE33" s="96">
        <f t="shared" si="11"/>
        <v>1</v>
      </c>
      <c r="AF33" s="393">
        <f t="shared" si="12"/>
        <v>1</v>
      </c>
      <c r="AG33" s="411">
        <f t="shared" si="13"/>
        <v>1</v>
      </c>
      <c r="AH33" s="411">
        <f t="shared" si="14"/>
        <v>1</v>
      </c>
      <c r="AI33" s="411">
        <f t="shared" si="15"/>
        <v>1</v>
      </c>
      <c r="AJ33" s="431" t="s">
        <v>462</v>
      </c>
      <c r="AK33" s="5">
        <v>200000</v>
      </c>
      <c r="AL33" s="5">
        <v>200000</v>
      </c>
      <c r="AM33" s="6">
        <f t="shared" si="25"/>
        <v>0</v>
      </c>
      <c r="AN33" s="393">
        <v>0</v>
      </c>
      <c r="AO33" s="96">
        <f t="shared" si="17"/>
        <v>0</v>
      </c>
      <c r="AP33" s="393">
        <v>0</v>
      </c>
      <c r="AQ33" s="96">
        <f t="shared" si="18"/>
        <v>0</v>
      </c>
      <c r="AR33" s="393">
        <v>0</v>
      </c>
      <c r="AS33" s="96">
        <f t="shared" si="19"/>
        <v>0</v>
      </c>
      <c r="AT33" s="393">
        <f t="shared" si="20"/>
        <v>0</v>
      </c>
      <c r="AU33" s="428">
        <f t="shared" si="21"/>
        <v>1</v>
      </c>
      <c r="AV33" s="428">
        <f t="shared" si="22"/>
        <v>0</v>
      </c>
      <c r="AW33" s="428">
        <f t="shared" si="23"/>
        <v>0.5</v>
      </c>
      <c r="AX33" s="431" t="s">
        <v>944</v>
      </c>
    </row>
    <row r="34" spans="1:50" ht="59.25" customHeight="1" x14ac:dyDescent="0.25">
      <c r="A34" s="539"/>
      <c r="B34" s="536"/>
      <c r="C34" s="26" t="str">
        <f>[2]SEGUIMIENTO!C99</f>
        <v>SP-PY8.3</v>
      </c>
      <c r="D34" s="259" t="str">
        <f>[2]SEGUIMIENTO!D99</f>
        <v>Fortalecimiento de medios audiovisuales institucionales.</v>
      </c>
      <c r="E34" s="26">
        <f>[2]SEGUIMIENTO!E99</f>
        <v>520</v>
      </c>
      <c r="F34" s="396" t="s">
        <v>277</v>
      </c>
      <c r="G34" s="396">
        <v>5</v>
      </c>
      <c r="H34" s="396" t="s">
        <v>274</v>
      </c>
      <c r="I34" s="5">
        <v>200000000</v>
      </c>
      <c r="J34" s="5">
        <v>139779342</v>
      </c>
      <c r="K34" s="6">
        <f t="shared" si="0"/>
        <v>60220658</v>
      </c>
      <c r="L34" s="52">
        <v>2</v>
      </c>
      <c r="M34" s="96">
        <f t="shared" si="1"/>
        <v>0.4</v>
      </c>
      <c r="N34" s="52">
        <v>5</v>
      </c>
      <c r="O34" s="96">
        <f t="shared" si="2"/>
        <v>1</v>
      </c>
      <c r="P34" s="52">
        <v>0</v>
      </c>
      <c r="Q34" s="96">
        <f t="shared" si="3"/>
        <v>0</v>
      </c>
      <c r="R34" s="393">
        <f t="shared" si="4"/>
        <v>7</v>
      </c>
      <c r="S34" s="411">
        <f t="shared" si="5"/>
        <v>0.69889670999999998</v>
      </c>
      <c r="T34" s="411">
        <f t="shared" si="6"/>
        <v>1.4</v>
      </c>
      <c r="U34" s="411">
        <f t="shared" si="7"/>
        <v>1.049448355</v>
      </c>
      <c r="V34" s="72" t="s">
        <v>462</v>
      </c>
      <c r="W34" s="5">
        <v>226800000</v>
      </c>
      <c r="X34" s="5">
        <v>194250653</v>
      </c>
      <c r="Y34" s="6">
        <f t="shared" si="24"/>
        <v>32549347</v>
      </c>
      <c r="Z34" s="52">
        <v>1</v>
      </c>
      <c r="AA34" s="96">
        <f t="shared" si="9"/>
        <v>0.2</v>
      </c>
      <c r="AB34" s="52">
        <v>1</v>
      </c>
      <c r="AC34" s="96">
        <f t="shared" si="10"/>
        <v>0.2</v>
      </c>
      <c r="AD34" s="52">
        <v>2</v>
      </c>
      <c r="AE34" s="96">
        <f t="shared" si="11"/>
        <v>0.4</v>
      </c>
      <c r="AF34" s="393">
        <f t="shared" si="12"/>
        <v>4</v>
      </c>
      <c r="AG34" s="411">
        <f t="shared" si="13"/>
        <v>0.85648436067019396</v>
      </c>
      <c r="AH34" s="411">
        <f t="shared" si="14"/>
        <v>0.8</v>
      </c>
      <c r="AI34" s="411">
        <f t="shared" si="15"/>
        <v>0.828242180335097</v>
      </c>
      <c r="AJ34" s="435" t="s">
        <v>945</v>
      </c>
      <c r="AK34" s="5">
        <v>286800000</v>
      </c>
      <c r="AL34" s="5">
        <v>240119602</v>
      </c>
      <c r="AM34" s="6">
        <f t="shared" si="25"/>
        <v>46680398</v>
      </c>
      <c r="AN34" s="52">
        <v>0</v>
      </c>
      <c r="AO34" s="96">
        <f t="shared" si="17"/>
        <v>0</v>
      </c>
      <c r="AP34" s="52">
        <v>0</v>
      </c>
      <c r="AQ34" s="96">
        <f t="shared" si="18"/>
        <v>0</v>
      </c>
      <c r="AR34" s="52">
        <v>0</v>
      </c>
      <c r="AS34" s="96">
        <f t="shared" si="19"/>
        <v>0</v>
      </c>
      <c r="AT34" s="393">
        <f t="shared" si="20"/>
        <v>0</v>
      </c>
      <c r="AU34" s="428">
        <f t="shared" si="21"/>
        <v>0.83723710599721057</v>
      </c>
      <c r="AV34" s="428">
        <f t="shared" si="22"/>
        <v>0</v>
      </c>
      <c r="AW34" s="428">
        <f t="shared" si="23"/>
        <v>0.41861855299860529</v>
      </c>
      <c r="AX34" s="435" t="s">
        <v>946</v>
      </c>
    </row>
    <row r="35" spans="1:50" ht="62.25" customHeight="1" x14ac:dyDescent="0.25">
      <c r="A35" s="539"/>
      <c r="B35" s="536"/>
      <c r="C35" s="26" t="str">
        <f>[2]SEGUIMIENTO!C100</f>
        <v>SP-PY8.4</v>
      </c>
      <c r="D35" s="259" t="str">
        <f>[2]SEGUIMIENTO!D100</f>
        <v>Elaboración de prospectos, revistas e instructivos-publicidad.</v>
      </c>
      <c r="E35" s="26">
        <f>[2]SEGUIMIENTO!E100</f>
        <v>520</v>
      </c>
      <c r="F35" s="396" t="s">
        <v>279</v>
      </c>
      <c r="G35" s="396">
        <v>5000</v>
      </c>
      <c r="H35" s="396" t="s">
        <v>278</v>
      </c>
      <c r="I35" s="5">
        <v>22029791</v>
      </c>
      <c r="J35" s="402">
        <v>1000000</v>
      </c>
      <c r="K35" s="6">
        <f t="shared" si="0"/>
        <v>21029791</v>
      </c>
      <c r="L35" s="393">
        <v>0</v>
      </c>
      <c r="M35" s="393">
        <f t="shared" si="1"/>
        <v>0</v>
      </c>
      <c r="N35" s="393">
        <v>0</v>
      </c>
      <c r="O35" s="393">
        <f t="shared" si="2"/>
        <v>0</v>
      </c>
      <c r="P35" s="393">
        <v>0</v>
      </c>
      <c r="Q35" s="393">
        <f t="shared" si="3"/>
        <v>0</v>
      </c>
      <c r="R35" s="393">
        <f t="shared" si="4"/>
        <v>0</v>
      </c>
      <c r="S35" s="411">
        <f t="shared" si="5"/>
        <v>4.5393077038270585E-2</v>
      </c>
      <c r="T35" s="411">
        <f t="shared" si="6"/>
        <v>0</v>
      </c>
      <c r="U35" s="411">
        <f t="shared" si="7"/>
        <v>2.2696538519135293E-2</v>
      </c>
      <c r="V35" s="434" t="s">
        <v>463</v>
      </c>
      <c r="W35" s="5">
        <v>65967589</v>
      </c>
      <c r="X35" s="402">
        <v>7499162</v>
      </c>
      <c r="Y35" s="6">
        <f t="shared" si="24"/>
        <v>58468427</v>
      </c>
      <c r="Z35" s="393">
        <v>0</v>
      </c>
      <c r="AA35" s="96">
        <f t="shared" si="9"/>
        <v>0</v>
      </c>
      <c r="AB35" s="393">
        <v>0</v>
      </c>
      <c r="AC35" s="96">
        <f t="shared" si="10"/>
        <v>0</v>
      </c>
      <c r="AD35" s="393">
        <v>3000</v>
      </c>
      <c r="AE35" s="96">
        <f t="shared" si="11"/>
        <v>0.6</v>
      </c>
      <c r="AF35" s="393">
        <f t="shared" si="12"/>
        <v>3000</v>
      </c>
      <c r="AG35" s="411">
        <f t="shared" si="13"/>
        <v>0.11367949190927684</v>
      </c>
      <c r="AH35" s="411">
        <f t="shared" si="14"/>
        <v>0.6</v>
      </c>
      <c r="AI35" s="411">
        <f t="shared" si="15"/>
        <v>0.35683974595463841</v>
      </c>
      <c r="AJ35" s="25" t="s">
        <v>947</v>
      </c>
      <c r="AK35" s="5">
        <v>65967589</v>
      </c>
      <c r="AL35" s="402">
        <v>46024162</v>
      </c>
      <c r="AM35" s="6">
        <f t="shared" si="25"/>
        <v>19943427</v>
      </c>
      <c r="AN35" s="393">
        <v>9000</v>
      </c>
      <c r="AO35" s="96">
        <f t="shared" si="17"/>
        <v>1.8</v>
      </c>
      <c r="AP35" s="393">
        <v>8000</v>
      </c>
      <c r="AQ35" s="96">
        <f t="shared" si="18"/>
        <v>1.6</v>
      </c>
      <c r="AR35" s="393">
        <v>9451</v>
      </c>
      <c r="AS35" s="96">
        <f t="shared" si="19"/>
        <v>1.8902000000000001</v>
      </c>
      <c r="AT35" s="393">
        <f t="shared" si="20"/>
        <v>26451</v>
      </c>
      <c r="AU35" s="428">
        <f t="shared" si="21"/>
        <v>0.6976784008280188</v>
      </c>
      <c r="AV35" s="428">
        <f t="shared" si="22"/>
        <v>5.2901999999999996</v>
      </c>
      <c r="AW35" s="428">
        <f t="shared" si="23"/>
        <v>2.9939392004140091</v>
      </c>
      <c r="AX35" s="25" t="s">
        <v>948</v>
      </c>
    </row>
    <row r="36" spans="1:50" s="17" customFormat="1" ht="20.25" customHeight="1" x14ac:dyDescent="0.25">
      <c r="A36" s="16"/>
      <c r="B36" s="537" t="s">
        <v>280</v>
      </c>
      <c r="C36" s="537"/>
      <c r="D36" s="537"/>
      <c r="E36" s="537"/>
      <c r="F36" s="537"/>
      <c r="G36" s="41"/>
      <c r="H36" s="41"/>
      <c r="I36" s="15">
        <f>SUM(I4:I35)</f>
        <v>2077873680</v>
      </c>
      <c r="J36" s="15">
        <f>SUM(J4:J35)</f>
        <v>485984761</v>
      </c>
      <c r="K36" s="15">
        <f>SUM(K4:K35)</f>
        <v>1591888919</v>
      </c>
      <c r="L36" s="222"/>
      <c r="M36" s="222"/>
      <c r="N36" s="222"/>
      <c r="O36" s="222"/>
      <c r="P36" s="222"/>
      <c r="Q36" s="222"/>
      <c r="R36" s="222"/>
      <c r="S36" s="222"/>
      <c r="T36" s="222"/>
      <c r="U36" s="222"/>
      <c r="V36" s="16"/>
      <c r="W36" s="15">
        <f>SUM(W4:W35)</f>
        <v>2432390317</v>
      </c>
      <c r="X36" s="15">
        <f>SUM(X4:X35)</f>
        <v>1497180182</v>
      </c>
      <c r="Y36" s="15">
        <f>SUM(Y4:Y35)</f>
        <v>935210135</v>
      </c>
      <c r="Z36" s="222"/>
      <c r="AA36" s="222"/>
      <c r="AB36" s="222"/>
      <c r="AC36" s="222"/>
      <c r="AD36" s="222"/>
      <c r="AE36" s="222"/>
      <c r="AF36" s="222"/>
      <c r="AG36" s="411">
        <f t="shared" si="13"/>
        <v>0.6155180653105683</v>
      </c>
      <c r="AH36" s="411">
        <f t="shared" ref="AH36" si="26">AA36+AC36+AE36</f>
        <v>0</v>
      </c>
      <c r="AI36" s="411">
        <f t="shared" si="15"/>
        <v>0.30775903265528415</v>
      </c>
      <c r="AJ36" s="436"/>
      <c r="AK36" s="15">
        <f>SUM(AK4:AK35)</f>
        <v>2532390317</v>
      </c>
      <c r="AL36" s="15">
        <f>SUM(AL4:AL35)</f>
        <v>1993367453</v>
      </c>
      <c r="AM36" s="15">
        <f>SUM(AM4:AM35)</f>
        <v>539022864</v>
      </c>
      <c r="AN36" s="222"/>
      <c r="AO36" s="222"/>
      <c r="AP36" s="222"/>
      <c r="AQ36" s="222"/>
      <c r="AR36" s="222"/>
      <c r="AS36" s="222"/>
      <c r="AT36" s="222"/>
      <c r="AU36" s="222"/>
      <c r="AV36" s="222"/>
      <c r="AW36" s="222"/>
      <c r="AX36" s="436"/>
    </row>
    <row r="37" spans="1:50" x14ac:dyDescent="0.25">
      <c r="I37" s="67">
        <f>I36-[2]SEGUIMIENTO!W101</f>
        <v>-354516637</v>
      </c>
      <c r="J37" s="67">
        <f>J36-[2]SEGUIMIENTO!X101</f>
        <v>-1011195421</v>
      </c>
      <c r="K37" s="67">
        <f>K36-[2]SEGUIMIENTO!Y101</f>
        <v>656678784</v>
      </c>
      <c r="W37" s="67">
        <f>[2]SEGUIMIENTO!W101-'[2]S. PROY. SOCIAL '!W36</f>
        <v>0</v>
      </c>
      <c r="X37" s="67">
        <f>[2]SEGUIMIENTO!X101-'[2]S. PROY. SOCIAL '!X36</f>
        <v>0</v>
      </c>
      <c r="Y37" s="67">
        <f>[2]SEGUIMIENTO!Y101-'[2]S. PROY. SOCIAL '!Y36</f>
        <v>0</v>
      </c>
      <c r="AJ37" s="437"/>
      <c r="AK37" s="67">
        <f>[2]SEGUIMIENTO!AY101-'[2]S. PROY. SOCIAL '!AK36</f>
        <v>-2532390317</v>
      </c>
      <c r="AL37" s="67">
        <f>[2]SEGUIMIENTO!AZ101-'[2]S. PROY. SOCIAL '!AL36</f>
        <v>-1993367453</v>
      </c>
      <c r="AM37" s="67">
        <f>[2]SEGUIMIENTO!BA101-'[2]S. PROY. SOCIAL '!AM36</f>
        <v>-539022864</v>
      </c>
      <c r="AX37" s="437"/>
    </row>
    <row r="38" spans="1:50" x14ac:dyDescent="0.25">
      <c r="A38" t="s">
        <v>464</v>
      </c>
      <c r="AJ38" s="437"/>
      <c r="AX38" s="437"/>
    </row>
    <row r="39" spans="1:50" x14ac:dyDescent="0.25">
      <c r="AJ39" s="437"/>
      <c r="AX39" s="437"/>
    </row>
    <row r="40" spans="1:50" x14ac:dyDescent="0.25">
      <c r="AJ40" s="437"/>
      <c r="AX40" s="437"/>
    </row>
    <row r="41" spans="1:50" x14ac:dyDescent="0.25">
      <c r="AJ41" s="437"/>
      <c r="AX41" s="437"/>
    </row>
    <row r="42" spans="1:50" x14ac:dyDescent="0.25">
      <c r="AJ42" s="437"/>
      <c r="AX42" s="437"/>
    </row>
  </sheetData>
  <mergeCells count="64">
    <mergeCell ref="AU1:AU2"/>
    <mergeCell ref="AV1:AV2"/>
    <mergeCell ref="AW1:AW2"/>
    <mergeCell ref="AX1:AX3"/>
    <mergeCell ref="AN2:AO2"/>
    <mergeCell ref="AP2:AQ2"/>
    <mergeCell ref="AR2:AS2"/>
    <mergeCell ref="AU3:AW3"/>
    <mergeCell ref="AK1:AK2"/>
    <mergeCell ref="AL1:AL2"/>
    <mergeCell ref="AM1:AM2"/>
    <mergeCell ref="AN1:AS1"/>
    <mergeCell ref="AT1:AT3"/>
    <mergeCell ref="AK3:AM3"/>
    <mergeCell ref="AG1:AG2"/>
    <mergeCell ref="AH1:AH2"/>
    <mergeCell ref="AI1:AI2"/>
    <mergeCell ref="AJ1:AJ3"/>
    <mergeCell ref="Z2:AA2"/>
    <mergeCell ref="AB2:AC2"/>
    <mergeCell ref="AD2:AE2"/>
    <mergeCell ref="AG3:AI3"/>
    <mergeCell ref="W1:W2"/>
    <mergeCell ref="X1:X2"/>
    <mergeCell ref="Y1:Y2"/>
    <mergeCell ref="Z1:AE1"/>
    <mergeCell ref="AF1:AF3"/>
    <mergeCell ref="W3:Y3"/>
    <mergeCell ref="B31:B35"/>
    <mergeCell ref="B36:F36"/>
    <mergeCell ref="A4:A15"/>
    <mergeCell ref="B4:B6"/>
    <mergeCell ref="B8:B13"/>
    <mergeCell ref="A16:A28"/>
    <mergeCell ref="A29:A35"/>
    <mergeCell ref="B29:B30"/>
    <mergeCell ref="B16:B21"/>
    <mergeCell ref="B22:B23"/>
    <mergeCell ref="B25:B28"/>
    <mergeCell ref="V1:V3"/>
    <mergeCell ref="P2:Q2"/>
    <mergeCell ref="I3:K3"/>
    <mergeCell ref="A2:A3"/>
    <mergeCell ref="B2:B3"/>
    <mergeCell ref="C2:C3"/>
    <mergeCell ref="D2:D3"/>
    <mergeCell ref="E2:E3"/>
    <mergeCell ref="F2:F3"/>
    <mergeCell ref="I1:I2"/>
    <mergeCell ref="J1:J2"/>
    <mergeCell ref="K1:K2"/>
    <mergeCell ref="L1:Q1"/>
    <mergeCell ref="S3:U3"/>
    <mergeCell ref="S1:S2"/>
    <mergeCell ref="T1:T2"/>
    <mergeCell ref="U1:U2"/>
    <mergeCell ref="A1:B1"/>
    <mergeCell ref="C1:E1"/>
    <mergeCell ref="F1:H1"/>
    <mergeCell ref="R1:R3"/>
    <mergeCell ref="G2:G3"/>
    <mergeCell ref="H2:H3"/>
    <mergeCell ref="L2:M2"/>
    <mergeCell ref="N2:O2"/>
  </mergeCells>
  <conditionalFormatting sqref="U5:U23 U25:U35">
    <cfRule type="cellIs" dxfId="841" priority="37" operator="greaterThan">
      <formula>24%</formula>
    </cfRule>
    <cfRule type="cellIs" dxfId="840" priority="38" operator="between">
      <formula>19.1%</formula>
      <formula>24%</formula>
    </cfRule>
    <cfRule type="cellIs" dxfId="839" priority="39" operator="between">
      <formula>9%</formula>
      <formula>19%</formula>
    </cfRule>
    <cfRule type="cellIs" dxfId="838" priority="40" operator="lessThan">
      <formula>9%</formula>
    </cfRule>
  </conditionalFormatting>
  <conditionalFormatting sqref="S4:T4 T5:T23 T25:T35">
    <cfRule type="cellIs" dxfId="837" priority="41" operator="greaterThan">
      <formula>24%</formula>
    </cfRule>
    <cfRule type="cellIs" dxfId="836" priority="42" operator="between">
      <formula>19.1%</formula>
      <formula>24%</formula>
    </cfRule>
    <cfRule type="cellIs" dxfId="835" priority="43" operator="between">
      <formula>9%</formula>
      <formula>19%</formula>
    </cfRule>
    <cfRule type="cellIs" dxfId="834" priority="44" operator="lessThan">
      <formula>9%</formula>
    </cfRule>
  </conditionalFormatting>
  <conditionalFormatting sqref="S5:S23 S25:S35">
    <cfRule type="cellIs" dxfId="833" priority="33" operator="greaterThan">
      <formula>24%</formula>
    </cfRule>
    <cfRule type="cellIs" dxfId="832" priority="34" operator="between">
      <formula>19.1%</formula>
      <formula>24%</formula>
    </cfRule>
    <cfRule type="cellIs" dxfId="831" priority="35" operator="between">
      <formula>9%</formula>
      <formula>19%</formula>
    </cfRule>
    <cfRule type="cellIs" dxfId="830" priority="36" operator="lessThan">
      <formula>9%</formula>
    </cfRule>
  </conditionalFormatting>
  <conditionalFormatting sqref="AV30">
    <cfRule type="cellIs" dxfId="829" priority="6" operator="equal">
      <formula>0</formula>
    </cfRule>
  </conditionalFormatting>
  <conditionalFormatting sqref="AV30">
    <cfRule type="cellIs" dxfId="828" priority="7" operator="greaterThan">
      <formula>74.1%</formula>
    </cfRule>
    <cfRule type="cellIs" dxfId="827" priority="8" operator="between">
      <formula>56.1%</formula>
      <formula>74%</formula>
    </cfRule>
    <cfRule type="cellIs" dxfId="826" priority="9" operator="between">
      <formula>25.1%</formula>
      <formula>56%</formula>
    </cfRule>
    <cfRule type="cellIs" dxfId="825" priority="10" operator="lessThanOrEqual">
      <formula>25%</formula>
    </cfRule>
  </conditionalFormatting>
  <conditionalFormatting sqref="AU30 AW30">
    <cfRule type="cellIs" dxfId="824" priority="2" operator="greaterThan">
      <formula>74.1%</formula>
    </cfRule>
    <cfRule type="cellIs" dxfId="823" priority="3" operator="between">
      <formula>56.1%</formula>
      <formula>74%</formula>
    </cfRule>
    <cfRule type="cellIs" dxfId="822" priority="4" operator="between">
      <formula>25.1%</formula>
      <formula>56%</formula>
    </cfRule>
    <cfRule type="cellIs" dxfId="821" priority="5" operator="lessThanOrEqual">
      <formula>25%</formula>
    </cfRule>
  </conditionalFormatting>
  <conditionalFormatting sqref="AU30 AW30">
    <cfRule type="cellIs" dxfId="820" priority="1" operator="equal">
      <formula>0</formula>
    </cfRule>
  </conditionalFormatting>
  <conditionalFormatting sqref="AI4:AI36 AG4:AH35">
    <cfRule type="cellIs" dxfId="819" priority="53" operator="greaterThan">
      <formula>50%</formula>
    </cfRule>
    <cfRule type="cellIs" dxfId="818" priority="54" operator="between">
      <formula>37%</formula>
      <formula>50%</formula>
    </cfRule>
    <cfRule type="cellIs" dxfId="817" priority="55" operator="between">
      <formula>16%</formula>
      <formula>37%</formula>
    </cfRule>
    <cfRule type="cellIs" dxfId="816" priority="56" operator="lessThan">
      <formula>16%</formula>
    </cfRule>
  </conditionalFormatting>
  <conditionalFormatting sqref="AG36:AH36">
    <cfRule type="cellIs" dxfId="815" priority="49" operator="greaterThan">
      <formula>24%</formula>
    </cfRule>
    <cfRule type="cellIs" dxfId="814" priority="50" operator="between">
      <formula>20%</formula>
      <formula>24%</formula>
    </cfRule>
    <cfRule type="cellIs" dxfId="813" priority="51" operator="between">
      <formula>9%</formula>
      <formula>19%</formula>
    </cfRule>
    <cfRule type="cellIs" dxfId="812" priority="52" operator="lessThan">
      <formula>9%</formula>
    </cfRule>
  </conditionalFormatting>
  <conditionalFormatting sqref="U4">
    <cfRule type="cellIs" dxfId="811" priority="45" operator="greaterThan">
      <formula>24%</formula>
    </cfRule>
    <cfRule type="cellIs" dxfId="810" priority="46" operator="between">
      <formula>19.1%</formula>
      <formula>24%</formula>
    </cfRule>
    <cfRule type="cellIs" dxfId="809" priority="47" operator="between">
      <formula>9%</formula>
      <formula>19%</formula>
    </cfRule>
    <cfRule type="cellIs" dxfId="808" priority="48" operator="lessThan">
      <formula>9%</formula>
    </cfRule>
  </conditionalFormatting>
  <conditionalFormatting sqref="AU4:AW4 AV5:AV29 AV31:AV35">
    <cfRule type="cellIs" dxfId="807" priority="28" operator="equal">
      <formula>0</formula>
    </cfRule>
  </conditionalFormatting>
  <conditionalFormatting sqref="AU4:AW4 AV5:AV29 AV31:AV35">
    <cfRule type="cellIs" dxfId="806" priority="29" operator="greaterThan">
      <formula>74.1%</formula>
    </cfRule>
    <cfRule type="cellIs" dxfId="805" priority="30" operator="between">
      <formula>56.1%</formula>
      <formula>74%</formula>
    </cfRule>
    <cfRule type="cellIs" dxfId="804" priority="31" operator="between">
      <formula>25.1%</formula>
      <formula>56%</formula>
    </cfRule>
    <cfRule type="cellIs" dxfId="803" priority="32" operator="lessThanOrEqual">
      <formula>25%</formula>
    </cfRule>
  </conditionalFormatting>
  <conditionalFormatting sqref="AU5:AU29 AW5:AW29 AW31:AW35 AU31:AU35">
    <cfRule type="cellIs" dxfId="802" priority="24" operator="greaterThan">
      <formula>74.1%</formula>
    </cfRule>
    <cfRule type="cellIs" dxfId="801" priority="25" operator="between">
      <formula>56.1%</formula>
      <formula>74%</formula>
    </cfRule>
    <cfRule type="cellIs" dxfId="800" priority="26" operator="between">
      <formula>25.1%</formula>
      <formula>56%</formula>
    </cfRule>
    <cfRule type="cellIs" dxfId="799" priority="27" operator="lessThanOrEqual">
      <formula>25%</formula>
    </cfRule>
  </conditionalFormatting>
  <conditionalFormatting sqref="AU5:AU29 AW5:AW29 AW31:AW35 AU31:AU35">
    <cfRule type="cellIs" dxfId="798" priority="23" operator="equal">
      <formula>0</formula>
    </cfRule>
  </conditionalFormatting>
  <conditionalFormatting sqref="T24">
    <cfRule type="cellIs" dxfId="797" priority="19" operator="greaterThan">
      <formula>24%</formula>
    </cfRule>
    <cfRule type="cellIs" dxfId="796" priority="20" operator="between">
      <formula>19.1%</formula>
      <formula>24%</formula>
    </cfRule>
    <cfRule type="cellIs" dxfId="795" priority="21" operator="between">
      <formula>9%</formula>
      <formula>19%</formula>
    </cfRule>
    <cfRule type="cellIs" dxfId="794" priority="22" operator="lessThan">
      <formula>9%</formula>
    </cfRule>
  </conditionalFormatting>
  <conditionalFormatting sqref="S24">
    <cfRule type="cellIs" dxfId="793" priority="11" operator="greaterThan">
      <formula>24%</formula>
    </cfRule>
    <cfRule type="cellIs" dxfId="792" priority="12" operator="between">
      <formula>19.1%</formula>
      <formula>24%</formula>
    </cfRule>
    <cfRule type="cellIs" dxfId="791" priority="13" operator="between">
      <formula>9%</formula>
      <formula>19%</formula>
    </cfRule>
    <cfRule type="cellIs" dxfId="790" priority="14" operator="lessThan">
      <formula>9%</formula>
    </cfRule>
  </conditionalFormatting>
  <conditionalFormatting sqref="U24">
    <cfRule type="cellIs" dxfId="789" priority="15" operator="greaterThan">
      <formula>24%</formula>
    </cfRule>
    <cfRule type="cellIs" dxfId="788" priority="16" operator="between">
      <formula>19.1%</formula>
      <formula>24%</formula>
    </cfRule>
    <cfRule type="cellIs" dxfId="787" priority="17" operator="between">
      <formula>9%</formula>
      <formula>19%</formula>
    </cfRule>
    <cfRule type="cellIs" dxfId="786" priority="18" operator="lessThan">
      <formula>9%</formula>
    </cfRule>
  </conditionalFormatting>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BA44"/>
  <sheetViews>
    <sheetView showGridLines="0" zoomScale="80" zoomScaleNormal="80" zoomScalePageLayoutView="50" workbookViewId="0">
      <pane xSplit="3" ySplit="4" topLeftCell="AP5" activePane="bottomRight" state="frozen"/>
      <selection sqref="A1:A3"/>
      <selection pane="topRight" sqref="A1:A3"/>
      <selection pane="bottomLeft" sqref="A1:A3"/>
      <selection pane="bottomRight" activeCell="AY2" sqref="AY2:BB4"/>
    </sheetView>
  </sheetViews>
  <sheetFormatPr baseColWidth="10" defaultRowHeight="15" x14ac:dyDescent="0.25"/>
  <cols>
    <col min="1" max="1" width="11" customWidth="1"/>
    <col min="2" max="2" width="23" customWidth="1"/>
    <col min="3" max="3" width="13.28515625" customWidth="1"/>
    <col min="4" max="4" width="51.42578125" customWidth="1"/>
    <col min="5" max="5" width="6.28515625" customWidth="1"/>
    <col min="6" max="7" width="14.28515625" customWidth="1"/>
    <col min="8" max="8" width="14.42578125" customWidth="1"/>
    <col min="9" max="9" width="17.28515625" hidden="1" customWidth="1"/>
    <col min="10" max="10" width="16.28515625" hidden="1" customWidth="1"/>
    <col min="11" max="11" width="14.28515625" hidden="1" customWidth="1"/>
    <col min="12" max="13" width="11.42578125" hidden="1" customWidth="1"/>
    <col min="14" max="14" width="9.28515625" hidden="1" customWidth="1"/>
    <col min="15" max="20" width="11.42578125" hidden="1" customWidth="1"/>
    <col min="21" max="21" width="13.140625" hidden="1" customWidth="1"/>
    <col min="22" max="22" width="85.28515625" hidden="1" customWidth="1"/>
    <col min="23" max="23" width="17.28515625" hidden="1" customWidth="1"/>
    <col min="24" max="24" width="16.28515625" hidden="1" customWidth="1"/>
    <col min="25" max="25" width="14.28515625" hidden="1" customWidth="1"/>
    <col min="26" max="34" width="11.42578125" hidden="1" customWidth="1"/>
    <col min="35" max="35" width="13.140625" hidden="1" customWidth="1"/>
    <col min="36" max="36" width="85.28515625" hidden="1" customWidth="1"/>
    <col min="37" max="37" width="17.28515625" customWidth="1"/>
    <col min="38" max="38" width="16.28515625" customWidth="1"/>
    <col min="39" max="39" width="14.28515625" customWidth="1"/>
    <col min="40" max="46" width="11.42578125" customWidth="1"/>
    <col min="49" max="49" width="13.140625" customWidth="1"/>
    <col min="50" max="50" width="85.28515625" customWidth="1"/>
  </cols>
  <sheetData>
    <row r="1" spans="1:50" ht="15.75" x14ac:dyDescent="0.25">
      <c r="A1" s="418" t="s">
        <v>401</v>
      </c>
      <c r="B1" s="547" t="s">
        <v>402</v>
      </c>
      <c r="C1" s="547"/>
      <c r="D1" s="401" t="s">
        <v>403</v>
      </c>
      <c r="E1" s="545"/>
      <c r="F1" s="545"/>
      <c r="G1" s="546"/>
      <c r="H1" s="546"/>
      <c r="I1" s="364"/>
      <c r="J1" s="364"/>
      <c r="K1" s="364"/>
      <c r="L1" s="366"/>
      <c r="M1" s="545"/>
      <c r="N1" s="545"/>
      <c r="O1" s="545"/>
      <c r="P1" s="546"/>
      <c r="Q1" s="546"/>
      <c r="R1" s="545"/>
      <c r="S1" s="545"/>
      <c r="T1" s="546"/>
      <c r="U1" s="546"/>
      <c r="V1" s="365"/>
      <c r="W1" s="364"/>
      <c r="X1" s="364"/>
      <c r="Y1" s="364"/>
      <c r="Z1" s="366"/>
      <c r="AA1" s="545"/>
      <c r="AB1" s="545"/>
      <c r="AC1" s="545"/>
      <c r="AD1" s="546"/>
      <c r="AE1" s="546"/>
      <c r="AF1" s="545"/>
      <c r="AG1" s="545"/>
      <c r="AH1" s="546"/>
      <c r="AI1" s="546"/>
      <c r="AJ1" s="365"/>
      <c r="AK1" s="364"/>
      <c r="AL1" s="364"/>
      <c r="AM1" s="364"/>
      <c r="AN1" s="366"/>
      <c r="AO1" s="545"/>
      <c r="AP1" s="545"/>
      <c r="AQ1" s="545"/>
      <c r="AR1" s="546"/>
      <c r="AS1" s="546"/>
      <c r="AT1" s="545"/>
      <c r="AU1" s="545"/>
      <c r="AV1" s="546"/>
      <c r="AW1" s="546"/>
      <c r="AX1" s="365"/>
    </row>
    <row r="2" spans="1:50" ht="15" customHeight="1" x14ac:dyDescent="0.25">
      <c r="A2" s="481" t="s">
        <v>409</v>
      </c>
      <c r="B2" s="482"/>
      <c r="C2" s="483" t="s">
        <v>407</v>
      </c>
      <c r="D2" s="484"/>
      <c r="E2" s="485"/>
      <c r="F2" s="486"/>
      <c r="G2" s="487"/>
      <c r="H2" s="488"/>
      <c r="I2" s="489" t="s">
        <v>0</v>
      </c>
      <c r="J2" s="475" t="s">
        <v>1</v>
      </c>
      <c r="K2" s="475" t="s">
        <v>2</v>
      </c>
      <c r="L2" s="529" t="s">
        <v>3</v>
      </c>
      <c r="M2" s="529"/>
      <c r="N2" s="529"/>
      <c r="O2" s="529"/>
      <c r="P2" s="529"/>
      <c r="Q2" s="529"/>
      <c r="R2" s="529" t="s">
        <v>4</v>
      </c>
      <c r="S2" s="530" t="s">
        <v>5</v>
      </c>
      <c r="T2" s="531" t="s">
        <v>6</v>
      </c>
      <c r="U2" s="530" t="s">
        <v>7</v>
      </c>
      <c r="V2" s="532" t="s">
        <v>8</v>
      </c>
      <c r="W2" s="489" t="s">
        <v>0</v>
      </c>
      <c r="X2" s="475" t="s">
        <v>1</v>
      </c>
      <c r="Y2" s="475" t="s">
        <v>2</v>
      </c>
      <c r="Z2" s="529" t="s">
        <v>3</v>
      </c>
      <c r="AA2" s="529"/>
      <c r="AB2" s="529"/>
      <c r="AC2" s="529"/>
      <c r="AD2" s="529"/>
      <c r="AE2" s="529"/>
      <c r="AF2" s="529" t="s">
        <v>4</v>
      </c>
      <c r="AG2" s="530" t="s">
        <v>5</v>
      </c>
      <c r="AH2" s="531" t="s">
        <v>6</v>
      </c>
      <c r="AI2" s="530" t="s">
        <v>7</v>
      </c>
      <c r="AJ2" s="532" t="s">
        <v>8</v>
      </c>
      <c r="AK2" s="489" t="s">
        <v>0</v>
      </c>
      <c r="AL2" s="475" t="s">
        <v>1</v>
      </c>
      <c r="AM2" s="475" t="s">
        <v>2</v>
      </c>
      <c r="AN2" s="529" t="s">
        <v>3</v>
      </c>
      <c r="AO2" s="529"/>
      <c r="AP2" s="529"/>
      <c r="AQ2" s="529"/>
      <c r="AR2" s="529"/>
      <c r="AS2" s="529"/>
      <c r="AT2" s="529" t="s">
        <v>4</v>
      </c>
      <c r="AU2" s="530" t="s">
        <v>5</v>
      </c>
      <c r="AV2" s="531" t="s">
        <v>6</v>
      </c>
      <c r="AW2" s="530" t="s">
        <v>7</v>
      </c>
      <c r="AX2" s="532" t="s">
        <v>8</v>
      </c>
    </row>
    <row r="3" spans="1:50" ht="28.5" customHeight="1" x14ac:dyDescent="0.25">
      <c r="A3" s="491" t="s">
        <v>9</v>
      </c>
      <c r="B3" s="491" t="s">
        <v>10</v>
      </c>
      <c r="C3" s="492" t="s">
        <v>11</v>
      </c>
      <c r="D3" s="491" t="s">
        <v>12</v>
      </c>
      <c r="E3" s="494" t="s">
        <v>13</v>
      </c>
      <c r="F3" s="476" t="s">
        <v>14</v>
      </c>
      <c r="G3" s="476" t="s">
        <v>15</v>
      </c>
      <c r="H3" s="476" t="s">
        <v>16</v>
      </c>
      <c r="I3" s="490"/>
      <c r="J3" s="475"/>
      <c r="K3" s="475"/>
      <c r="L3" s="529" t="s">
        <v>734</v>
      </c>
      <c r="M3" s="529"/>
      <c r="N3" s="529" t="s">
        <v>735</v>
      </c>
      <c r="O3" s="529"/>
      <c r="P3" s="529" t="s">
        <v>736</v>
      </c>
      <c r="Q3" s="529"/>
      <c r="R3" s="529"/>
      <c r="S3" s="530"/>
      <c r="T3" s="531"/>
      <c r="U3" s="530"/>
      <c r="V3" s="532"/>
      <c r="W3" s="490"/>
      <c r="X3" s="475"/>
      <c r="Y3" s="475"/>
      <c r="Z3" s="529" t="s">
        <v>395</v>
      </c>
      <c r="AA3" s="529"/>
      <c r="AB3" s="529" t="s">
        <v>393</v>
      </c>
      <c r="AC3" s="529"/>
      <c r="AD3" s="529" t="s">
        <v>394</v>
      </c>
      <c r="AE3" s="529"/>
      <c r="AF3" s="529"/>
      <c r="AG3" s="530"/>
      <c r="AH3" s="531"/>
      <c r="AI3" s="530"/>
      <c r="AJ3" s="532"/>
      <c r="AK3" s="490"/>
      <c r="AL3" s="475"/>
      <c r="AM3" s="475"/>
      <c r="AN3" s="529" t="s">
        <v>838</v>
      </c>
      <c r="AO3" s="529"/>
      <c r="AP3" s="529" t="s">
        <v>839</v>
      </c>
      <c r="AQ3" s="529"/>
      <c r="AR3" s="529" t="s">
        <v>840</v>
      </c>
      <c r="AS3" s="529"/>
      <c r="AT3" s="529"/>
      <c r="AU3" s="530"/>
      <c r="AV3" s="531"/>
      <c r="AW3" s="530"/>
      <c r="AX3" s="532"/>
    </row>
    <row r="4" spans="1:50" ht="23.25" customHeight="1" x14ac:dyDescent="0.25">
      <c r="A4" s="491"/>
      <c r="B4" s="491"/>
      <c r="C4" s="493"/>
      <c r="D4" s="491"/>
      <c r="E4" s="495"/>
      <c r="F4" s="477"/>
      <c r="G4" s="477"/>
      <c r="H4" s="477"/>
      <c r="I4" s="478" t="s">
        <v>17</v>
      </c>
      <c r="J4" s="479"/>
      <c r="K4" s="480"/>
      <c r="L4" s="394" t="s">
        <v>18</v>
      </c>
      <c r="M4" s="394" t="s">
        <v>19</v>
      </c>
      <c r="N4" s="394" t="s">
        <v>18</v>
      </c>
      <c r="O4" s="394" t="s">
        <v>19</v>
      </c>
      <c r="P4" s="394" t="s">
        <v>18</v>
      </c>
      <c r="Q4" s="394" t="s">
        <v>19</v>
      </c>
      <c r="R4" s="529"/>
      <c r="S4" s="533" t="s">
        <v>20</v>
      </c>
      <c r="T4" s="533"/>
      <c r="U4" s="533"/>
      <c r="V4" s="532"/>
      <c r="W4" s="478" t="s">
        <v>17</v>
      </c>
      <c r="X4" s="479"/>
      <c r="Y4" s="480"/>
      <c r="Z4" s="394" t="s">
        <v>18</v>
      </c>
      <c r="AA4" s="394" t="s">
        <v>19</v>
      </c>
      <c r="AB4" s="394" t="s">
        <v>18</v>
      </c>
      <c r="AC4" s="394" t="s">
        <v>19</v>
      </c>
      <c r="AD4" s="394" t="s">
        <v>18</v>
      </c>
      <c r="AE4" s="394" t="s">
        <v>19</v>
      </c>
      <c r="AF4" s="529"/>
      <c r="AG4" s="533" t="s">
        <v>20</v>
      </c>
      <c r="AH4" s="533"/>
      <c r="AI4" s="533"/>
      <c r="AJ4" s="532"/>
      <c r="AK4" s="478" t="s">
        <v>17</v>
      </c>
      <c r="AL4" s="479"/>
      <c r="AM4" s="480"/>
      <c r="AN4" s="394" t="s">
        <v>18</v>
      </c>
      <c r="AO4" s="394" t="s">
        <v>19</v>
      </c>
      <c r="AP4" s="394" t="s">
        <v>18</v>
      </c>
      <c r="AQ4" s="394" t="s">
        <v>19</v>
      </c>
      <c r="AR4" s="394" t="s">
        <v>18</v>
      </c>
      <c r="AS4" s="394" t="s">
        <v>19</v>
      </c>
      <c r="AT4" s="529"/>
      <c r="AU4" s="533" t="s">
        <v>20</v>
      </c>
      <c r="AV4" s="533"/>
      <c r="AW4" s="533"/>
      <c r="AX4" s="532"/>
    </row>
    <row r="5" spans="1:50" ht="64.5" customHeight="1" x14ac:dyDescent="0.25">
      <c r="A5" s="548" t="s">
        <v>396</v>
      </c>
      <c r="B5" s="541" t="s">
        <v>86</v>
      </c>
      <c r="C5" s="259" t="str">
        <f>[2]SEGUIMIENTO!C32</f>
        <v>SI-PY1.1</v>
      </c>
      <c r="D5" s="259" t="str">
        <f>[2]SEGUIMIENTO!D32</f>
        <v>Adquisición  de equipos de laboratorio para investigación.</v>
      </c>
      <c r="E5" s="18">
        <f>[2]SEGUIMIENTO!E32</f>
        <v>410</v>
      </c>
      <c r="F5" s="398" t="s">
        <v>89</v>
      </c>
      <c r="G5" s="398">
        <v>4</v>
      </c>
      <c r="H5" s="398" t="s">
        <v>90</v>
      </c>
      <c r="I5" s="438">
        <f>[2]SEGUIMIENTO!I32</f>
        <v>150000000</v>
      </c>
      <c r="J5" s="439">
        <v>120000000</v>
      </c>
      <c r="K5" s="440">
        <f>I5-J5</f>
        <v>30000000</v>
      </c>
      <c r="L5" s="393">
        <v>0</v>
      </c>
      <c r="M5" s="102">
        <f t="shared" ref="M5:M41" si="0">IFERROR((L5/G5),0)</f>
        <v>0</v>
      </c>
      <c r="N5" s="393">
        <v>0</v>
      </c>
      <c r="O5" s="102">
        <f t="shared" ref="O5:O41" si="1">IFERROR((N5/G5),0)</f>
        <v>0</v>
      </c>
      <c r="P5" s="393">
        <v>1</v>
      </c>
      <c r="Q5" s="102">
        <f t="shared" ref="Q5:Q41" si="2">IFERROR((P5/G5),0)</f>
        <v>0.25</v>
      </c>
      <c r="R5" s="393">
        <f>L5+N5+P5</f>
        <v>1</v>
      </c>
      <c r="S5" s="411">
        <f>IFERROR((J5/I5),0)</f>
        <v>0.8</v>
      </c>
      <c r="T5" s="411">
        <f>M5+O5+Q5</f>
        <v>0.25</v>
      </c>
      <c r="U5" s="411">
        <f>(S5+T5)/2</f>
        <v>0.52500000000000002</v>
      </c>
      <c r="V5" s="441" t="s">
        <v>949</v>
      </c>
      <c r="W5" s="404">
        <v>150000000</v>
      </c>
      <c r="X5" s="404">
        <v>129819880</v>
      </c>
      <c r="Y5" s="20">
        <f>W5-X5</f>
        <v>20180120</v>
      </c>
      <c r="Z5" s="393">
        <v>0</v>
      </c>
      <c r="AA5" s="102">
        <f t="shared" ref="AA5:AA41" si="3">IFERROR((Z5/G5),0)</f>
        <v>0</v>
      </c>
      <c r="AB5" s="393">
        <v>0</v>
      </c>
      <c r="AC5" s="102">
        <f t="shared" ref="AC5:AC41" si="4">IFERROR((AB5/G5),0)</f>
        <v>0</v>
      </c>
      <c r="AD5" s="393">
        <v>3</v>
      </c>
      <c r="AE5" s="102">
        <f t="shared" ref="AE5:AE41" si="5">IFERROR((AD5/G5),0)</f>
        <v>0.75</v>
      </c>
      <c r="AF5" s="393">
        <f>Z5+AB5+AD5</f>
        <v>3</v>
      </c>
      <c r="AG5" s="411">
        <f t="shared" ref="AG5:AG41" si="6">IFERROR((X5/W5)*100,0)/100</f>
        <v>0.86546586666666669</v>
      </c>
      <c r="AH5" s="411">
        <f t="shared" ref="AH5:AH41" si="7">IFERROR((AF5/G5),0)</f>
        <v>0.75</v>
      </c>
      <c r="AI5" s="411">
        <f>(AG5+AH5)/2</f>
        <v>0.8077329333333334</v>
      </c>
      <c r="AJ5" s="441" t="s">
        <v>466</v>
      </c>
      <c r="AK5" s="438">
        <v>150000000</v>
      </c>
      <c r="AL5" s="438">
        <v>129819880</v>
      </c>
      <c r="AM5" s="440">
        <f>AK5-AL5</f>
        <v>20180120</v>
      </c>
      <c r="AN5" s="393">
        <v>0</v>
      </c>
      <c r="AO5" s="96">
        <f>IFERROR((AN5/G5),0)</f>
        <v>0</v>
      </c>
      <c r="AP5" s="393">
        <v>0</v>
      </c>
      <c r="AQ5" s="96">
        <f>IFERROR((AP5/G5),0)</f>
        <v>0</v>
      </c>
      <c r="AR5" s="393">
        <v>0</v>
      </c>
      <c r="AS5" s="96">
        <f>IFERROR((AR5/G5),0)</f>
        <v>0</v>
      </c>
      <c r="AT5" s="393">
        <f>AN5+AP5+AR5</f>
        <v>0</v>
      </c>
      <c r="AU5" s="428">
        <f t="shared" ref="AU5:AU41" si="8">IFERROR((AL5/AK5)*100,0)/100</f>
        <v>0.86546586666666669</v>
      </c>
      <c r="AV5" s="411">
        <f>IFERROR((AT5/G5),0)</f>
        <v>0</v>
      </c>
      <c r="AW5" s="428">
        <f>(AU5+AV5)/2</f>
        <v>0.43273293333333335</v>
      </c>
      <c r="AX5" s="441" t="s">
        <v>950</v>
      </c>
    </row>
    <row r="6" spans="1:50" ht="45.75" customHeight="1" x14ac:dyDescent="0.25">
      <c r="A6" s="549"/>
      <c r="B6" s="542"/>
      <c r="C6" s="259" t="str">
        <f>[2]SEGUIMIENTO!C33</f>
        <v>SI-PY1.2</v>
      </c>
      <c r="D6" s="259" t="str">
        <f>[2]SEGUIMIENTO!D33</f>
        <v xml:space="preserve"> Adquisición y renovación de  licencias software Y bases de datos especializadas  para  actividades de investigaciòn.</v>
      </c>
      <c r="E6" s="18">
        <f>[2]SEGUIMIENTO!E33</f>
        <v>410</v>
      </c>
      <c r="F6" s="425" t="s">
        <v>89</v>
      </c>
      <c r="G6" s="425">
        <v>4</v>
      </c>
      <c r="H6" s="425" t="s">
        <v>93</v>
      </c>
      <c r="I6" s="438">
        <f>[2]SEGUIMIENTO!I33</f>
        <v>350000000</v>
      </c>
      <c r="J6" s="442">
        <v>0</v>
      </c>
      <c r="K6" s="440">
        <f t="shared" ref="K6:K41" si="9">I6-J6</f>
        <v>350000000</v>
      </c>
      <c r="L6" s="393">
        <v>0</v>
      </c>
      <c r="M6" s="102">
        <f t="shared" si="0"/>
        <v>0</v>
      </c>
      <c r="N6" s="393">
        <v>0</v>
      </c>
      <c r="O6" s="102">
        <f t="shared" si="1"/>
        <v>0</v>
      </c>
      <c r="P6" s="393">
        <v>0</v>
      </c>
      <c r="Q6" s="102">
        <f t="shared" si="2"/>
        <v>0</v>
      </c>
      <c r="R6" s="393">
        <f t="shared" ref="R6:R41" si="10">L6+N6+P6</f>
        <v>0</v>
      </c>
      <c r="S6" s="411">
        <f t="shared" ref="S6:S41" si="11">IFERROR((J6/I6),0)</f>
        <v>0</v>
      </c>
      <c r="T6" s="411">
        <f t="shared" ref="T6:T41" si="12">M6+O6+Q6</f>
        <v>0</v>
      </c>
      <c r="U6" s="411">
        <f t="shared" ref="U6:U41" si="13">(S6+T6)/2</f>
        <v>0</v>
      </c>
      <c r="V6" s="441" t="s">
        <v>951</v>
      </c>
      <c r="W6" s="404">
        <v>350000000</v>
      </c>
      <c r="X6" s="5">
        <v>88429163</v>
      </c>
      <c r="Y6" s="20">
        <f t="shared" ref="Y6:Y41" si="14">W6-X6</f>
        <v>261570837</v>
      </c>
      <c r="Z6" s="393">
        <v>0</v>
      </c>
      <c r="AA6" s="96">
        <f t="shared" si="3"/>
        <v>0</v>
      </c>
      <c r="AB6" s="393">
        <v>7</v>
      </c>
      <c r="AC6" s="96">
        <f t="shared" si="4"/>
        <v>1.75</v>
      </c>
      <c r="AD6" s="393">
        <v>0</v>
      </c>
      <c r="AE6" s="96">
        <f t="shared" si="5"/>
        <v>0</v>
      </c>
      <c r="AF6" s="393">
        <f t="shared" ref="AF6:AF41" si="15">Z6+AB6+AD6</f>
        <v>7</v>
      </c>
      <c r="AG6" s="411">
        <f t="shared" si="6"/>
        <v>0.25265475142857141</v>
      </c>
      <c r="AH6" s="411">
        <f t="shared" si="7"/>
        <v>1.75</v>
      </c>
      <c r="AI6" s="411">
        <f t="shared" ref="AI6:AI41" si="16">(AG6+AH6)/2</f>
        <v>1.0013273757142858</v>
      </c>
      <c r="AJ6" s="441" t="s">
        <v>467</v>
      </c>
      <c r="AK6" s="438">
        <v>350000000</v>
      </c>
      <c r="AL6" s="438">
        <v>350000000</v>
      </c>
      <c r="AM6" s="440">
        <f t="shared" ref="AM6:AM41" si="17">AK6-AL6</f>
        <v>0</v>
      </c>
      <c r="AN6" s="393">
        <v>0</v>
      </c>
      <c r="AO6" s="96">
        <f t="shared" ref="AO6:AO41" si="18">IFERROR((AN6/G6),0)</f>
        <v>0</v>
      </c>
      <c r="AP6" s="393">
        <v>0</v>
      </c>
      <c r="AQ6" s="96">
        <f t="shared" ref="AQ6:AQ41" si="19">IFERROR((AP6/G6),0)</f>
        <v>0</v>
      </c>
      <c r="AR6" s="393">
        <v>0</v>
      </c>
      <c r="AS6" s="96">
        <f t="shared" ref="AS6:AS41" si="20">IFERROR((AR6/G6),0)</f>
        <v>0</v>
      </c>
      <c r="AT6" s="393">
        <f t="shared" ref="AT6:AT41" si="21">AN6+AP6+AR6</f>
        <v>0</v>
      </c>
      <c r="AU6" s="428">
        <f t="shared" si="8"/>
        <v>1</v>
      </c>
      <c r="AV6" s="411">
        <f t="shared" ref="AV6:AV41" si="22">IFERROR((AT6/G6),0)</f>
        <v>0</v>
      </c>
      <c r="AW6" s="428">
        <f t="shared" ref="AW6:AW41" si="23">(AU6+AV6)/2</f>
        <v>0.5</v>
      </c>
      <c r="AX6" s="441" t="s">
        <v>952</v>
      </c>
    </row>
    <row r="7" spans="1:50" ht="409.5" x14ac:dyDescent="0.25">
      <c r="A7" s="549"/>
      <c r="B7" s="542"/>
      <c r="C7" s="259" t="str">
        <f>[2]SEGUIMIENTO!C34</f>
        <v>SI-PY1.3</v>
      </c>
      <c r="D7" s="259" t="str">
        <f>[2]SEGUIMIENTO!D34</f>
        <v>Apoyo a la formación de alto nivel (Maestrias, doctorados, posdoctorados).</v>
      </c>
      <c r="E7" s="18">
        <f>[2]SEGUIMIENTO!E34</f>
        <v>410</v>
      </c>
      <c r="F7" s="425" t="s">
        <v>96</v>
      </c>
      <c r="G7" s="425">
        <v>4</v>
      </c>
      <c r="H7" s="425" t="s">
        <v>97</v>
      </c>
      <c r="I7" s="438">
        <f>[2]SEGUIMIENTO!I34</f>
        <v>1418000000</v>
      </c>
      <c r="J7" s="442">
        <v>305685305</v>
      </c>
      <c r="K7" s="440">
        <f t="shared" si="9"/>
        <v>1112314695</v>
      </c>
      <c r="L7" s="393">
        <v>10</v>
      </c>
      <c r="M7" s="102">
        <f t="shared" si="0"/>
        <v>2.5</v>
      </c>
      <c r="N7" s="393">
        <v>7</v>
      </c>
      <c r="O7" s="102">
        <f t="shared" si="1"/>
        <v>1.75</v>
      </c>
      <c r="P7" s="393">
        <v>1</v>
      </c>
      <c r="Q7" s="102">
        <f t="shared" si="2"/>
        <v>0.25</v>
      </c>
      <c r="R7" s="393">
        <f t="shared" si="10"/>
        <v>18</v>
      </c>
      <c r="S7" s="411">
        <f t="shared" si="11"/>
        <v>0.2155749682651622</v>
      </c>
      <c r="T7" s="411">
        <f t="shared" si="12"/>
        <v>4.5</v>
      </c>
      <c r="U7" s="411">
        <f t="shared" si="13"/>
        <v>2.3577874841325812</v>
      </c>
      <c r="V7" s="29" t="s">
        <v>953</v>
      </c>
      <c r="W7" s="404">
        <v>1418000000</v>
      </c>
      <c r="X7" s="309">
        <v>581283533</v>
      </c>
      <c r="Y7" s="20">
        <f t="shared" si="14"/>
        <v>836716467</v>
      </c>
      <c r="Z7" s="393">
        <v>1</v>
      </c>
      <c r="AA7" s="96">
        <f t="shared" si="3"/>
        <v>0.25</v>
      </c>
      <c r="AB7" s="393">
        <v>0</v>
      </c>
      <c r="AC7" s="96">
        <f t="shared" si="4"/>
        <v>0</v>
      </c>
      <c r="AD7" s="393">
        <v>0</v>
      </c>
      <c r="AE7" s="96">
        <f t="shared" si="5"/>
        <v>0</v>
      </c>
      <c r="AF7" s="393">
        <f t="shared" si="15"/>
        <v>1</v>
      </c>
      <c r="AG7" s="411">
        <f t="shared" si="6"/>
        <v>0.40993196967559942</v>
      </c>
      <c r="AH7" s="411">
        <f t="shared" si="7"/>
        <v>0.25</v>
      </c>
      <c r="AI7" s="411">
        <f t="shared" si="16"/>
        <v>0.32996598483779971</v>
      </c>
      <c r="AJ7" s="29" t="s">
        <v>468</v>
      </c>
      <c r="AK7" s="438">
        <v>1418000000</v>
      </c>
      <c r="AL7" s="439">
        <v>1278654185</v>
      </c>
      <c r="AM7" s="440">
        <f t="shared" si="17"/>
        <v>139345815</v>
      </c>
      <c r="AN7" s="393">
        <v>3</v>
      </c>
      <c r="AO7" s="96">
        <f t="shared" si="18"/>
        <v>0.75</v>
      </c>
      <c r="AP7" s="393">
        <v>4</v>
      </c>
      <c r="AQ7" s="96">
        <f t="shared" si="19"/>
        <v>1</v>
      </c>
      <c r="AR7" s="393">
        <v>0</v>
      </c>
      <c r="AS7" s="96">
        <f t="shared" si="20"/>
        <v>0</v>
      </c>
      <c r="AT7" s="393">
        <f t="shared" si="21"/>
        <v>7</v>
      </c>
      <c r="AU7" s="428">
        <f t="shared" si="8"/>
        <v>0.90173073695345562</v>
      </c>
      <c r="AV7" s="411">
        <f t="shared" si="22"/>
        <v>1.75</v>
      </c>
      <c r="AW7" s="428">
        <f t="shared" si="23"/>
        <v>1.3258653684767279</v>
      </c>
      <c r="AX7" s="29" t="s">
        <v>954</v>
      </c>
    </row>
    <row r="8" spans="1:50" ht="30.75" customHeight="1" x14ac:dyDescent="0.25">
      <c r="A8" s="549"/>
      <c r="B8" s="542"/>
      <c r="C8" s="259" t="str">
        <f>[2]SEGUIMIENTO!C35</f>
        <v>SI-PY1.4</v>
      </c>
      <c r="D8" s="259" t="str">
        <f>[2]SEGUIMIENTO!D35</f>
        <v>Fortalecimiento de las capacidades investigativas para la acreditación Institucional</v>
      </c>
      <c r="E8" s="18">
        <f>[2]SEGUIMIENTO!E35</f>
        <v>410</v>
      </c>
      <c r="F8" s="425" t="s">
        <v>89</v>
      </c>
      <c r="G8" s="425">
        <v>1</v>
      </c>
      <c r="H8" s="425" t="s">
        <v>100</v>
      </c>
      <c r="I8" s="438">
        <f>[2]SEGUIMIENTO!I35</f>
        <v>15000000</v>
      </c>
      <c r="J8" s="442">
        <v>0</v>
      </c>
      <c r="K8" s="440">
        <f t="shared" si="9"/>
        <v>15000000</v>
      </c>
      <c r="L8" s="393">
        <v>0</v>
      </c>
      <c r="M8" s="102">
        <f t="shared" si="0"/>
        <v>0</v>
      </c>
      <c r="N8" s="393">
        <v>0</v>
      </c>
      <c r="O8" s="102">
        <f t="shared" si="1"/>
        <v>0</v>
      </c>
      <c r="P8" s="393">
        <v>0</v>
      </c>
      <c r="Q8" s="102">
        <f t="shared" si="2"/>
        <v>0</v>
      </c>
      <c r="R8" s="393">
        <f t="shared" si="10"/>
        <v>0</v>
      </c>
      <c r="S8" s="411">
        <f t="shared" si="11"/>
        <v>0</v>
      </c>
      <c r="T8" s="411">
        <f t="shared" si="12"/>
        <v>0</v>
      </c>
      <c r="U8" s="411">
        <f t="shared" si="13"/>
        <v>0</v>
      </c>
      <c r="V8" s="441" t="s">
        <v>470</v>
      </c>
      <c r="W8" s="404">
        <v>15000000</v>
      </c>
      <c r="X8" s="5">
        <v>5915700</v>
      </c>
      <c r="Y8" s="20">
        <f t="shared" si="14"/>
        <v>9084300</v>
      </c>
      <c r="Z8" s="393">
        <v>0</v>
      </c>
      <c r="AA8" s="96">
        <f t="shared" si="3"/>
        <v>0</v>
      </c>
      <c r="AB8" s="393">
        <v>1</v>
      </c>
      <c r="AC8" s="96">
        <f t="shared" si="4"/>
        <v>1</v>
      </c>
      <c r="AD8" s="393">
        <v>0</v>
      </c>
      <c r="AE8" s="96">
        <f t="shared" si="5"/>
        <v>0</v>
      </c>
      <c r="AF8" s="393">
        <f t="shared" si="15"/>
        <v>1</v>
      </c>
      <c r="AG8" s="411">
        <f t="shared" si="6"/>
        <v>0.39438000000000001</v>
      </c>
      <c r="AH8" s="411">
        <f t="shared" si="7"/>
        <v>1</v>
      </c>
      <c r="AI8" s="411">
        <f t="shared" si="16"/>
        <v>0.69718999999999998</v>
      </c>
      <c r="AJ8" s="441" t="s">
        <v>955</v>
      </c>
      <c r="AK8" s="438">
        <v>15000000</v>
      </c>
      <c r="AL8" s="438">
        <v>15000000</v>
      </c>
      <c r="AM8" s="440">
        <f t="shared" si="17"/>
        <v>0</v>
      </c>
      <c r="AN8" s="393">
        <v>0</v>
      </c>
      <c r="AO8" s="96">
        <f t="shared" si="18"/>
        <v>0</v>
      </c>
      <c r="AP8" s="393">
        <v>0</v>
      </c>
      <c r="AQ8" s="96">
        <f t="shared" si="19"/>
        <v>0</v>
      </c>
      <c r="AR8" s="393">
        <v>0</v>
      </c>
      <c r="AS8" s="96">
        <f t="shared" si="20"/>
        <v>0</v>
      </c>
      <c r="AT8" s="393">
        <f t="shared" si="21"/>
        <v>0</v>
      </c>
      <c r="AU8" s="428">
        <f t="shared" si="8"/>
        <v>1</v>
      </c>
      <c r="AV8" s="411">
        <f t="shared" si="22"/>
        <v>0</v>
      </c>
      <c r="AW8" s="428">
        <f t="shared" si="23"/>
        <v>0.5</v>
      </c>
      <c r="AX8" s="441" t="s">
        <v>956</v>
      </c>
    </row>
    <row r="9" spans="1:50" ht="87.75" customHeight="1" x14ac:dyDescent="0.25">
      <c r="A9" s="549"/>
      <c r="B9" s="543"/>
      <c r="C9" s="259" t="str">
        <f>[2]SEGUIMIENTO!C36</f>
        <v>SI-PY1.5</v>
      </c>
      <c r="D9" s="259" t="str">
        <f>[2]SEGUIMIENTO!D36</f>
        <v>Fortalecimiento  de las capacidades investigativas de grupos de investigación en modalidad Proyectos.</v>
      </c>
      <c r="E9" s="18">
        <f>[2]SEGUIMIENTO!E36</f>
        <v>410</v>
      </c>
      <c r="F9" s="425" t="s">
        <v>89</v>
      </c>
      <c r="G9" s="425">
        <v>20</v>
      </c>
      <c r="H9" s="425" t="s">
        <v>103</v>
      </c>
      <c r="I9" s="438">
        <f>[2]SEGUIMIENTO!I36</f>
        <v>440305826</v>
      </c>
      <c r="J9" s="442">
        <v>60999794</v>
      </c>
      <c r="K9" s="440">
        <f t="shared" si="9"/>
        <v>379306032</v>
      </c>
      <c r="L9" s="393">
        <v>0</v>
      </c>
      <c r="M9" s="102">
        <f t="shared" si="0"/>
        <v>0</v>
      </c>
      <c r="N9" s="393">
        <v>3</v>
      </c>
      <c r="O9" s="102">
        <f t="shared" si="1"/>
        <v>0.15</v>
      </c>
      <c r="P9" s="393">
        <v>5</v>
      </c>
      <c r="Q9" s="102">
        <f t="shared" si="2"/>
        <v>0.25</v>
      </c>
      <c r="R9" s="393">
        <f t="shared" si="10"/>
        <v>8</v>
      </c>
      <c r="S9" s="411">
        <f t="shared" si="11"/>
        <v>0.13853960224455444</v>
      </c>
      <c r="T9" s="411">
        <f t="shared" si="12"/>
        <v>0.4</v>
      </c>
      <c r="U9" s="411">
        <f>(S9+T9)/2</f>
        <v>0.26926980112227722</v>
      </c>
      <c r="V9" s="29" t="s">
        <v>957</v>
      </c>
      <c r="W9" s="404">
        <v>440305826</v>
      </c>
      <c r="X9" s="309">
        <v>154787202</v>
      </c>
      <c r="Y9" s="20">
        <f t="shared" si="14"/>
        <v>285518624</v>
      </c>
      <c r="Z9" s="393">
        <v>3</v>
      </c>
      <c r="AA9" s="96">
        <f t="shared" si="3"/>
        <v>0.15</v>
      </c>
      <c r="AB9" s="393">
        <v>1</v>
      </c>
      <c r="AC9" s="96">
        <f t="shared" si="4"/>
        <v>0.05</v>
      </c>
      <c r="AD9" s="393">
        <v>2</v>
      </c>
      <c r="AE9" s="96">
        <f t="shared" si="5"/>
        <v>0.1</v>
      </c>
      <c r="AF9" s="393">
        <f t="shared" si="15"/>
        <v>6</v>
      </c>
      <c r="AG9" s="411">
        <f t="shared" si="6"/>
        <v>0.35154475107944633</v>
      </c>
      <c r="AH9" s="411">
        <f t="shared" si="7"/>
        <v>0.3</v>
      </c>
      <c r="AI9" s="411">
        <f t="shared" si="16"/>
        <v>0.32577237553972316</v>
      </c>
      <c r="AJ9" s="29" t="s">
        <v>469</v>
      </c>
      <c r="AK9" s="438">
        <v>440305826</v>
      </c>
      <c r="AL9" s="439">
        <v>260031816</v>
      </c>
      <c r="AM9" s="440">
        <f t="shared" si="17"/>
        <v>180274010</v>
      </c>
      <c r="AN9" s="393">
        <v>3</v>
      </c>
      <c r="AO9" s="96">
        <f t="shared" si="18"/>
        <v>0.15</v>
      </c>
      <c r="AP9" s="393">
        <v>3</v>
      </c>
      <c r="AQ9" s="96">
        <f t="shared" si="19"/>
        <v>0.15</v>
      </c>
      <c r="AR9" s="393">
        <v>5</v>
      </c>
      <c r="AS9" s="96">
        <f t="shared" si="20"/>
        <v>0.25</v>
      </c>
      <c r="AT9" s="393">
        <f t="shared" si="21"/>
        <v>11</v>
      </c>
      <c r="AU9" s="428">
        <f t="shared" si="8"/>
        <v>0.59057091831439901</v>
      </c>
      <c r="AV9" s="411">
        <f t="shared" si="22"/>
        <v>0.55000000000000004</v>
      </c>
      <c r="AW9" s="428">
        <f t="shared" si="23"/>
        <v>0.57028545915719953</v>
      </c>
      <c r="AX9" s="29" t="s">
        <v>958</v>
      </c>
    </row>
    <row r="10" spans="1:50" ht="36" customHeight="1" x14ac:dyDescent="0.25">
      <c r="A10" s="549"/>
      <c r="B10" s="541" t="s">
        <v>104</v>
      </c>
      <c r="C10" s="259" t="str">
        <f>[2]SEGUIMIENTO!C37</f>
        <v>SI-PY2.1</v>
      </c>
      <c r="D10" s="259" t="str">
        <f>[2]SEGUIMIENTO!D37</f>
        <v>Formulación y ejecución de dos talleres para reformular dos currículos.</v>
      </c>
      <c r="E10" s="259">
        <f>[2]SEGUIMIENTO!E37</f>
        <v>410</v>
      </c>
      <c r="F10" s="425" t="s">
        <v>89</v>
      </c>
      <c r="G10" s="425">
        <v>2</v>
      </c>
      <c r="H10" s="425" t="s">
        <v>107</v>
      </c>
      <c r="I10" s="438">
        <f>[2]SEGUIMIENTO!I37</f>
        <v>5000000</v>
      </c>
      <c r="J10" s="442">
        <v>0</v>
      </c>
      <c r="K10" s="440">
        <f t="shared" si="9"/>
        <v>5000000</v>
      </c>
      <c r="L10" s="393">
        <v>0</v>
      </c>
      <c r="M10" s="102">
        <f t="shared" si="0"/>
        <v>0</v>
      </c>
      <c r="N10" s="393">
        <v>0</v>
      </c>
      <c r="O10" s="102">
        <f t="shared" si="1"/>
        <v>0</v>
      </c>
      <c r="P10" s="393">
        <v>0</v>
      </c>
      <c r="Q10" s="102">
        <f t="shared" si="2"/>
        <v>0</v>
      </c>
      <c r="R10" s="393">
        <f t="shared" si="10"/>
        <v>0</v>
      </c>
      <c r="S10" s="411">
        <f t="shared" si="11"/>
        <v>0</v>
      </c>
      <c r="T10" s="411">
        <f t="shared" si="12"/>
        <v>0</v>
      </c>
      <c r="U10" s="411">
        <f t="shared" si="13"/>
        <v>0</v>
      </c>
      <c r="V10" s="441" t="s">
        <v>959</v>
      </c>
      <c r="W10" s="404">
        <v>5000000</v>
      </c>
      <c r="X10" s="5">
        <v>0</v>
      </c>
      <c r="Y10" s="20">
        <f t="shared" si="14"/>
        <v>5000000</v>
      </c>
      <c r="Z10" s="393">
        <v>0</v>
      </c>
      <c r="AA10" s="96">
        <f t="shared" si="3"/>
        <v>0</v>
      </c>
      <c r="AB10" s="393">
        <v>0</v>
      </c>
      <c r="AC10" s="96">
        <f t="shared" si="4"/>
        <v>0</v>
      </c>
      <c r="AD10" s="393">
        <v>3</v>
      </c>
      <c r="AE10" s="96">
        <f t="shared" si="5"/>
        <v>1.5</v>
      </c>
      <c r="AF10" s="393">
        <f t="shared" si="15"/>
        <v>3</v>
      </c>
      <c r="AG10" s="411">
        <f t="shared" si="6"/>
        <v>0</v>
      </c>
      <c r="AH10" s="411">
        <f t="shared" si="7"/>
        <v>1.5</v>
      </c>
      <c r="AI10" s="411">
        <f t="shared" si="16"/>
        <v>0.75</v>
      </c>
      <c r="AJ10" s="441" t="s">
        <v>960</v>
      </c>
      <c r="AK10" s="438">
        <v>5000000</v>
      </c>
      <c r="AL10" s="442">
        <v>0</v>
      </c>
      <c r="AM10" s="440">
        <f t="shared" si="17"/>
        <v>5000000</v>
      </c>
      <c r="AN10" s="393">
        <v>0</v>
      </c>
      <c r="AO10" s="96">
        <f t="shared" si="18"/>
        <v>0</v>
      </c>
      <c r="AP10" s="393">
        <v>0</v>
      </c>
      <c r="AQ10" s="96">
        <f t="shared" si="19"/>
        <v>0</v>
      </c>
      <c r="AR10" s="393">
        <v>0</v>
      </c>
      <c r="AS10" s="96">
        <f t="shared" si="20"/>
        <v>0</v>
      </c>
      <c r="AT10" s="393">
        <f t="shared" si="21"/>
        <v>0</v>
      </c>
      <c r="AU10" s="428">
        <f t="shared" si="8"/>
        <v>0</v>
      </c>
      <c r="AV10" s="411">
        <f t="shared" si="22"/>
        <v>0</v>
      </c>
      <c r="AW10" s="428">
        <f t="shared" si="23"/>
        <v>0</v>
      </c>
      <c r="AX10" s="441" t="s">
        <v>961</v>
      </c>
    </row>
    <row r="11" spans="1:50" ht="33" customHeight="1" x14ac:dyDescent="0.25">
      <c r="A11" s="549"/>
      <c r="B11" s="542"/>
      <c r="C11" s="259" t="str">
        <f>[2]SEGUIMIENTO!C38</f>
        <v>SI-PY2.2</v>
      </c>
      <c r="D11" s="259" t="str">
        <f>[2]SEGUIMIENTO!D38</f>
        <v>Taller con experto en Gestión  y apropiación social del conocimiento.</v>
      </c>
      <c r="E11" s="259">
        <f>[2]SEGUIMIENTO!E38</f>
        <v>410</v>
      </c>
      <c r="F11" s="425" t="s">
        <v>110</v>
      </c>
      <c r="G11" s="425">
        <v>1</v>
      </c>
      <c r="H11" s="425" t="s">
        <v>111</v>
      </c>
      <c r="I11" s="438">
        <f>[2]SEGUIMIENTO!I38</f>
        <v>5000000</v>
      </c>
      <c r="J11" s="442">
        <v>0</v>
      </c>
      <c r="K11" s="440">
        <f t="shared" si="9"/>
        <v>5000000</v>
      </c>
      <c r="L11" s="393">
        <v>0</v>
      </c>
      <c r="M11" s="102">
        <f t="shared" si="0"/>
        <v>0</v>
      </c>
      <c r="N11" s="393">
        <v>0</v>
      </c>
      <c r="O11" s="102">
        <f t="shared" si="1"/>
        <v>0</v>
      </c>
      <c r="P11" s="393">
        <v>0</v>
      </c>
      <c r="Q11" s="102">
        <f t="shared" si="2"/>
        <v>0</v>
      </c>
      <c r="R11" s="393">
        <f t="shared" si="10"/>
        <v>0</v>
      </c>
      <c r="S11" s="411">
        <f t="shared" si="11"/>
        <v>0</v>
      </c>
      <c r="T11" s="411">
        <f t="shared" si="12"/>
        <v>0</v>
      </c>
      <c r="U11" s="411">
        <f t="shared" si="13"/>
        <v>0</v>
      </c>
      <c r="V11" s="441" t="s">
        <v>962</v>
      </c>
      <c r="W11" s="404">
        <v>5000000</v>
      </c>
      <c r="X11" s="5">
        <v>5000000</v>
      </c>
      <c r="Y11" s="20">
        <f t="shared" si="14"/>
        <v>0</v>
      </c>
      <c r="Z11" s="393">
        <v>0</v>
      </c>
      <c r="AA11" s="96">
        <f t="shared" si="3"/>
        <v>0</v>
      </c>
      <c r="AB11" s="393">
        <v>1</v>
      </c>
      <c r="AC11" s="96">
        <f t="shared" si="4"/>
        <v>1</v>
      </c>
      <c r="AD11" s="393">
        <v>0</v>
      </c>
      <c r="AE11" s="96">
        <f t="shared" si="5"/>
        <v>0</v>
      </c>
      <c r="AF11" s="393">
        <f t="shared" si="15"/>
        <v>1</v>
      </c>
      <c r="AG11" s="411">
        <f t="shared" si="6"/>
        <v>1</v>
      </c>
      <c r="AH11" s="411">
        <f t="shared" si="7"/>
        <v>1</v>
      </c>
      <c r="AI11" s="411">
        <f t="shared" si="16"/>
        <v>1</v>
      </c>
      <c r="AJ11" s="441" t="s">
        <v>471</v>
      </c>
      <c r="AK11" s="438">
        <v>5000000</v>
      </c>
      <c r="AL11" s="442">
        <v>5000000</v>
      </c>
      <c r="AM11" s="440">
        <f t="shared" si="17"/>
        <v>0</v>
      </c>
      <c r="AN11" s="393">
        <v>0</v>
      </c>
      <c r="AO11" s="96">
        <f t="shared" si="18"/>
        <v>0</v>
      </c>
      <c r="AP11" s="393">
        <v>0</v>
      </c>
      <c r="AQ11" s="96">
        <f t="shared" si="19"/>
        <v>0</v>
      </c>
      <c r="AR11" s="393">
        <v>0</v>
      </c>
      <c r="AS11" s="96">
        <f t="shared" si="20"/>
        <v>0</v>
      </c>
      <c r="AT11" s="393">
        <f t="shared" si="21"/>
        <v>0</v>
      </c>
      <c r="AU11" s="428">
        <f t="shared" si="8"/>
        <v>1</v>
      </c>
      <c r="AV11" s="411">
        <f t="shared" si="22"/>
        <v>0</v>
      </c>
      <c r="AW11" s="428">
        <f t="shared" si="23"/>
        <v>0.5</v>
      </c>
      <c r="AX11" s="441" t="s">
        <v>963</v>
      </c>
    </row>
    <row r="12" spans="1:50" ht="31.5" customHeight="1" x14ac:dyDescent="0.25">
      <c r="A12" s="549"/>
      <c r="B12" s="542"/>
      <c r="C12" s="259" t="str">
        <f>[2]SEGUIMIENTO!C39</f>
        <v>SI-PY2.3</v>
      </c>
      <c r="D12" s="259" t="str">
        <f>[2]SEGUIMIENTO!D39</f>
        <v>Acciones  de sensibilización sobre propuestas de investigación en el marco del programa ONDAS.</v>
      </c>
      <c r="E12" s="259">
        <f>[2]SEGUIMIENTO!E39</f>
        <v>410</v>
      </c>
      <c r="F12" s="425" t="s">
        <v>110</v>
      </c>
      <c r="G12" s="425">
        <v>4</v>
      </c>
      <c r="H12" s="425" t="s">
        <v>107</v>
      </c>
      <c r="I12" s="438">
        <f>[2]SEGUIMIENTO!I39</f>
        <v>0</v>
      </c>
      <c r="J12" s="442">
        <v>0</v>
      </c>
      <c r="K12" s="440">
        <f t="shared" si="9"/>
        <v>0</v>
      </c>
      <c r="L12" s="393">
        <v>0</v>
      </c>
      <c r="M12" s="102">
        <f t="shared" si="0"/>
        <v>0</v>
      </c>
      <c r="N12" s="393">
        <v>0</v>
      </c>
      <c r="O12" s="102">
        <f t="shared" si="1"/>
        <v>0</v>
      </c>
      <c r="P12" s="393">
        <v>0</v>
      </c>
      <c r="Q12" s="102">
        <f t="shared" si="2"/>
        <v>0</v>
      </c>
      <c r="R12" s="393">
        <f t="shared" si="10"/>
        <v>0</v>
      </c>
      <c r="S12" s="411">
        <f t="shared" si="11"/>
        <v>0</v>
      </c>
      <c r="T12" s="411">
        <f t="shared" si="12"/>
        <v>0</v>
      </c>
      <c r="U12" s="411">
        <f t="shared" si="13"/>
        <v>0</v>
      </c>
      <c r="V12" s="443" t="s">
        <v>470</v>
      </c>
      <c r="W12" s="404">
        <v>0</v>
      </c>
      <c r="X12" s="5">
        <v>0</v>
      </c>
      <c r="Y12" s="20">
        <f t="shared" si="14"/>
        <v>0</v>
      </c>
      <c r="Z12" s="393">
        <v>0</v>
      </c>
      <c r="AA12" s="96">
        <f t="shared" si="3"/>
        <v>0</v>
      </c>
      <c r="AB12" s="393">
        <v>0</v>
      </c>
      <c r="AC12" s="96">
        <f t="shared" si="4"/>
        <v>0</v>
      </c>
      <c r="AD12" s="393">
        <v>0</v>
      </c>
      <c r="AE12" s="96">
        <f t="shared" si="5"/>
        <v>0</v>
      </c>
      <c r="AF12" s="393">
        <f t="shared" si="15"/>
        <v>0</v>
      </c>
      <c r="AG12" s="411">
        <f t="shared" si="6"/>
        <v>0</v>
      </c>
      <c r="AH12" s="411">
        <f t="shared" si="7"/>
        <v>0</v>
      </c>
      <c r="AI12" s="411">
        <f t="shared" si="16"/>
        <v>0</v>
      </c>
      <c r="AJ12" s="443" t="s">
        <v>964</v>
      </c>
      <c r="AK12" s="438">
        <v>0</v>
      </c>
      <c r="AL12" s="442">
        <v>0</v>
      </c>
      <c r="AM12" s="440">
        <f t="shared" si="17"/>
        <v>0</v>
      </c>
      <c r="AN12" s="393">
        <v>2</v>
      </c>
      <c r="AO12" s="96">
        <f t="shared" si="18"/>
        <v>0.5</v>
      </c>
      <c r="AP12" s="393">
        <v>0</v>
      </c>
      <c r="AQ12" s="96">
        <f t="shared" si="19"/>
        <v>0</v>
      </c>
      <c r="AR12" s="393">
        <v>2</v>
      </c>
      <c r="AS12" s="96">
        <f t="shared" si="20"/>
        <v>0.5</v>
      </c>
      <c r="AT12" s="393">
        <f t="shared" si="21"/>
        <v>4</v>
      </c>
      <c r="AU12" s="428">
        <f t="shared" si="8"/>
        <v>0</v>
      </c>
      <c r="AV12" s="411">
        <f t="shared" si="22"/>
        <v>1</v>
      </c>
      <c r="AW12" s="428">
        <f t="shared" si="23"/>
        <v>0.5</v>
      </c>
      <c r="AX12" s="29" t="s">
        <v>965</v>
      </c>
    </row>
    <row r="13" spans="1:50" ht="76.5" customHeight="1" x14ac:dyDescent="0.25">
      <c r="A13" s="549"/>
      <c r="B13" s="542"/>
      <c r="C13" s="259" t="str">
        <f>[2]SEGUIMIENTO!C40</f>
        <v>SI-PY2.4</v>
      </c>
      <c r="D13" s="259" t="str">
        <f>[2]SEGUIMIENTO!D40</f>
        <v>Apoyo al desarrollo de los proyectos formulados por los grupos, en el marco del convenio ONDAS.</v>
      </c>
      <c r="E13" s="259">
        <f>[2]SEGUIMIENTO!E40</f>
        <v>410</v>
      </c>
      <c r="F13" s="425" t="s">
        <v>110</v>
      </c>
      <c r="G13" s="425">
        <v>3</v>
      </c>
      <c r="H13" s="425" t="s">
        <v>116</v>
      </c>
      <c r="I13" s="438">
        <f>[2]SEGUIMIENTO!I40</f>
        <v>18000000</v>
      </c>
      <c r="J13" s="442">
        <v>2853333</v>
      </c>
      <c r="K13" s="440">
        <f t="shared" si="9"/>
        <v>15146667</v>
      </c>
      <c r="L13" s="393">
        <v>0</v>
      </c>
      <c r="M13" s="102">
        <f t="shared" si="0"/>
        <v>0</v>
      </c>
      <c r="N13" s="393">
        <v>0</v>
      </c>
      <c r="O13" s="102">
        <f t="shared" si="1"/>
        <v>0</v>
      </c>
      <c r="P13" s="393">
        <v>0</v>
      </c>
      <c r="Q13" s="102">
        <f t="shared" si="2"/>
        <v>0</v>
      </c>
      <c r="R13" s="393">
        <f t="shared" si="10"/>
        <v>0</v>
      </c>
      <c r="S13" s="411">
        <f t="shared" si="11"/>
        <v>0.15851850000000001</v>
      </c>
      <c r="T13" s="411">
        <f t="shared" si="12"/>
        <v>0</v>
      </c>
      <c r="U13" s="411">
        <f t="shared" si="13"/>
        <v>7.9259250000000003E-2</v>
      </c>
      <c r="V13" s="441" t="s">
        <v>966</v>
      </c>
      <c r="W13" s="404">
        <v>18000000</v>
      </c>
      <c r="X13" s="309">
        <v>7775333</v>
      </c>
      <c r="Y13" s="20">
        <f t="shared" si="14"/>
        <v>10224667</v>
      </c>
      <c r="Z13" s="393">
        <v>13</v>
      </c>
      <c r="AA13" s="96">
        <f t="shared" si="3"/>
        <v>4.333333333333333</v>
      </c>
      <c r="AB13" s="393">
        <v>13</v>
      </c>
      <c r="AC13" s="96">
        <f t="shared" si="4"/>
        <v>4.333333333333333</v>
      </c>
      <c r="AD13" s="393">
        <v>13</v>
      </c>
      <c r="AE13" s="96">
        <f t="shared" si="5"/>
        <v>4.333333333333333</v>
      </c>
      <c r="AF13" s="393">
        <f t="shared" si="15"/>
        <v>39</v>
      </c>
      <c r="AG13" s="411">
        <f t="shared" si="6"/>
        <v>0.4319629444444445</v>
      </c>
      <c r="AH13" s="411">
        <f t="shared" si="7"/>
        <v>13</v>
      </c>
      <c r="AI13" s="411">
        <f t="shared" si="16"/>
        <v>6.7159814722222224</v>
      </c>
      <c r="AJ13" s="441" t="s">
        <v>472</v>
      </c>
      <c r="AK13" s="438">
        <v>18000000</v>
      </c>
      <c r="AL13" s="439">
        <v>15035327</v>
      </c>
      <c r="AM13" s="440">
        <f t="shared" si="17"/>
        <v>2964673</v>
      </c>
      <c r="AN13" s="393">
        <v>0</v>
      </c>
      <c r="AO13" s="96">
        <f t="shared" si="18"/>
        <v>0</v>
      </c>
      <c r="AP13" s="393">
        <v>0</v>
      </c>
      <c r="AQ13" s="96">
        <f t="shared" si="19"/>
        <v>0</v>
      </c>
      <c r="AR13" s="393">
        <v>0</v>
      </c>
      <c r="AS13" s="96">
        <f t="shared" si="20"/>
        <v>0</v>
      </c>
      <c r="AT13" s="393">
        <f t="shared" si="21"/>
        <v>0</v>
      </c>
      <c r="AU13" s="428">
        <f t="shared" si="8"/>
        <v>0.83529594444444444</v>
      </c>
      <c r="AV13" s="411">
        <f t="shared" si="22"/>
        <v>0</v>
      </c>
      <c r="AW13" s="428">
        <f t="shared" si="23"/>
        <v>0.41764797222222222</v>
      </c>
      <c r="AX13" s="441" t="s">
        <v>967</v>
      </c>
    </row>
    <row r="14" spans="1:50" ht="77.25" customHeight="1" x14ac:dyDescent="0.25">
      <c r="A14" s="549"/>
      <c r="B14" s="542"/>
      <c r="C14" s="259" t="str">
        <f>[2]SEGUIMIENTO!C41</f>
        <v>SI-PY2.5</v>
      </c>
      <c r="D14" s="259" t="str">
        <f>[2]SEGUIMIENTO!D41</f>
        <v>Apoyo a la formulación, ejecución y divulgación de eventos académicos.</v>
      </c>
      <c r="E14" s="259">
        <f>[2]SEGUIMIENTO!E41</f>
        <v>410</v>
      </c>
      <c r="F14" s="425" t="s">
        <v>119</v>
      </c>
      <c r="G14" s="425">
        <v>3</v>
      </c>
      <c r="H14" s="425" t="s">
        <v>120</v>
      </c>
      <c r="I14" s="438">
        <f>[2]SEGUIMIENTO!I41</f>
        <v>50000000</v>
      </c>
      <c r="J14" s="442">
        <v>10000000</v>
      </c>
      <c r="K14" s="440">
        <f t="shared" si="9"/>
        <v>40000000</v>
      </c>
      <c r="L14" s="393">
        <v>0</v>
      </c>
      <c r="M14" s="102">
        <f t="shared" si="0"/>
        <v>0</v>
      </c>
      <c r="N14" s="393">
        <v>0</v>
      </c>
      <c r="O14" s="102">
        <f t="shared" si="1"/>
        <v>0</v>
      </c>
      <c r="P14" s="393">
        <v>0</v>
      </c>
      <c r="Q14" s="102">
        <f t="shared" si="2"/>
        <v>0</v>
      </c>
      <c r="R14" s="393">
        <f t="shared" si="10"/>
        <v>0</v>
      </c>
      <c r="S14" s="411">
        <f t="shared" si="11"/>
        <v>0.2</v>
      </c>
      <c r="T14" s="411">
        <f t="shared" si="12"/>
        <v>0</v>
      </c>
      <c r="U14" s="411">
        <f t="shared" si="13"/>
        <v>0.1</v>
      </c>
      <c r="V14" s="441" t="s">
        <v>470</v>
      </c>
      <c r="W14" s="404">
        <v>50000000</v>
      </c>
      <c r="X14" s="309">
        <v>44958045</v>
      </c>
      <c r="Y14" s="20">
        <f t="shared" si="14"/>
        <v>5041955</v>
      </c>
      <c r="Z14" s="393">
        <v>3</v>
      </c>
      <c r="AA14" s="96">
        <f t="shared" si="3"/>
        <v>1</v>
      </c>
      <c r="AB14" s="393">
        <v>3</v>
      </c>
      <c r="AC14" s="96">
        <f t="shared" si="4"/>
        <v>1</v>
      </c>
      <c r="AD14" s="393">
        <v>0</v>
      </c>
      <c r="AE14" s="96">
        <f t="shared" si="5"/>
        <v>0</v>
      </c>
      <c r="AF14" s="393">
        <f t="shared" si="15"/>
        <v>6</v>
      </c>
      <c r="AG14" s="411">
        <f t="shared" si="6"/>
        <v>0.89916089999999993</v>
      </c>
      <c r="AH14" s="411">
        <f t="shared" si="7"/>
        <v>2</v>
      </c>
      <c r="AI14" s="411">
        <f t="shared" si="16"/>
        <v>1.44958045</v>
      </c>
      <c r="AJ14" s="441" t="s">
        <v>473</v>
      </c>
      <c r="AK14" s="438">
        <v>50000000</v>
      </c>
      <c r="AL14" s="439">
        <v>44958045</v>
      </c>
      <c r="AM14" s="440">
        <f t="shared" si="17"/>
        <v>5041955</v>
      </c>
      <c r="AN14" s="393">
        <v>1</v>
      </c>
      <c r="AO14" s="96">
        <f t="shared" si="18"/>
        <v>0.33333333333333331</v>
      </c>
      <c r="AP14" s="393">
        <v>0</v>
      </c>
      <c r="AQ14" s="96">
        <f t="shared" si="19"/>
        <v>0</v>
      </c>
      <c r="AR14" s="393">
        <v>0</v>
      </c>
      <c r="AS14" s="96">
        <f t="shared" si="20"/>
        <v>0</v>
      </c>
      <c r="AT14" s="393">
        <f t="shared" si="21"/>
        <v>1</v>
      </c>
      <c r="AU14" s="428">
        <f t="shared" si="8"/>
        <v>0.89916089999999993</v>
      </c>
      <c r="AV14" s="411">
        <f t="shared" si="22"/>
        <v>0.33333333333333331</v>
      </c>
      <c r="AW14" s="428">
        <f t="shared" si="23"/>
        <v>0.61624711666666665</v>
      </c>
      <c r="AX14" s="441" t="s">
        <v>968</v>
      </c>
    </row>
    <row r="15" spans="1:50" ht="66" customHeight="1" x14ac:dyDescent="0.25">
      <c r="A15" s="549"/>
      <c r="B15" s="542"/>
      <c r="C15" s="259" t="str">
        <f>[2]SEGUIMIENTO!C42</f>
        <v>SI-PY2.6</v>
      </c>
      <c r="D15" s="259" t="str">
        <f>[2]SEGUIMIENTO!D42</f>
        <v>Apoyo a docentes para  realizar ponencias en eventos nacionales e internacionales.</v>
      </c>
      <c r="E15" s="259">
        <f>[2]SEGUIMIENTO!E42</f>
        <v>410</v>
      </c>
      <c r="F15" s="425" t="s">
        <v>123</v>
      </c>
      <c r="G15" s="425">
        <v>16</v>
      </c>
      <c r="H15" s="425" t="s">
        <v>124</v>
      </c>
      <c r="I15" s="438">
        <f>[2]SEGUIMIENTO!I42</f>
        <v>50000000</v>
      </c>
      <c r="J15" s="442">
        <v>0</v>
      </c>
      <c r="K15" s="440">
        <f t="shared" si="9"/>
        <v>50000000</v>
      </c>
      <c r="L15" s="393">
        <v>0</v>
      </c>
      <c r="M15" s="102">
        <f t="shared" si="0"/>
        <v>0</v>
      </c>
      <c r="N15" s="393">
        <v>0</v>
      </c>
      <c r="O15" s="102">
        <f t="shared" si="1"/>
        <v>0</v>
      </c>
      <c r="P15" s="393">
        <v>0</v>
      </c>
      <c r="Q15" s="102">
        <f t="shared" si="2"/>
        <v>0</v>
      </c>
      <c r="R15" s="393">
        <f t="shared" si="10"/>
        <v>0</v>
      </c>
      <c r="S15" s="411">
        <f t="shared" si="11"/>
        <v>0</v>
      </c>
      <c r="T15" s="411">
        <f t="shared" si="12"/>
        <v>0</v>
      </c>
      <c r="U15" s="411">
        <f t="shared" si="13"/>
        <v>0</v>
      </c>
      <c r="V15" s="441" t="s">
        <v>470</v>
      </c>
      <c r="W15" s="404">
        <v>55000000</v>
      </c>
      <c r="X15" s="5">
        <v>31686000</v>
      </c>
      <c r="Y15" s="20">
        <f t="shared" si="14"/>
        <v>23314000</v>
      </c>
      <c r="Z15" s="393">
        <v>5</v>
      </c>
      <c r="AA15" s="96">
        <f t="shared" si="3"/>
        <v>0.3125</v>
      </c>
      <c r="AB15" s="393">
        <v>1</v>
      </c>
      <c r="AC15" s="96">
        <f t="shared" si="4"/>
        <v>6.25E-2</v>
      </c>
      <c r="AD15" s="393">
        <v>2</v>
      </c>
      <c r="AE15" s="96">
        <f t="shared" si="5"/>
        <v>0.125</v>
      </c>
      <c r="AF15" s="393">
        <f t="shared" si="15"/>
        <v>8</v>
      </c>
      <c r="AG15" s="411">
        <f t="shared" si="6"/>
        <v>0.5761090909090909</v>
      </c>
      <c r="AH15" s="411">
        <f t="shared" si="7"/>
        <v>0.5</v>
      </c>
      <c r="AI15" s="411">
        <f t="shared" si="16"/>
        <v>0.53805454545454545</v>
      </c>
      <c r="AJ15" s="441" t="s">
        <v>969</v>
      </c>
      <c r="AK15" s="438">
        <v>55000000</v>
      </c>
      <c r="AL15" s="442">
        <v>43725387</v>
      </c>
      <c r="AM15" s="440">
        <f t="shared" si="17"/>
        <v>11274613</v>
      </c>
      <c r="AN15" s="393">
        <v>0</v>
      </c>
      <c r="AO15" s="96">
        <f t="shared" si="18"/>
        <v>0</v>
      </c>
      <c r="AP15" s="393">
        <v>1</v>
      </c>
      <c r="AQ15" s="96">
        <f t="shared" si="19"/>
        <v>6.25E-2</v>
      </c>
      <c r="AR15" s="393">
        <v>3</v>
      </c>
      <c r="AS15" s="96">
        <f t="shared" si="20"/>
        <v>0.1875</v>
      </c>
      <c r="AT15" s="393">
        <f t="shared" si="21"/>
        <v>4</v>
      </c>
      <c r="AU15" s="428">
        <f t="shared" si="8"/>
        <v>0.79500703636363634</v>
      </c>
      <c r="AV15" s="411">
        <f t="shared" si="22"/>
        <v>0.25</v>
      </c>
      <c r="AW15" s="428">
        <f t="shared" si="23"/>
        <v>0.52250351818181817</v>
      </c>
      <c r="AX15" s="441" t="s">
        <v>970</v>
      </c>
    </row>
    <row r="16" spans="1:50" ht="55.5" customHeight="1" x14ac:dyDescent="0.25">
      <c r="A16" s="549"/>
      <c r="B16" s="542"/>
      <c r="C16" s="259" t="str">
        <f>[2]SEGUIMIENTO!C43</f>
        <v>SI-PY2.7</v>
      </c>
      <c r="D16" s="259" t="str">
        <f>[2]SEGUIMIENTO!D43</f>
        <v>Consolidación de grupos de Investigación.</v>
      </c>
      <c r="E16" s="259">
        <f>[2]SEGUIMIENTO!E43</f>
        <v>410</v>
      </c>
      <c r="F16" s="425" t="s">
        <v>96</v>
      </c>
      <c r="G16" s="425">
        <v>35</v>
      </c>
      <c r="H16" s="425" t="s">
        <v>127</v>
      </c>
      <c r="I16" s="438">
        <f>[2]SEGUIMIENTO!I43</f>
        <v>90000000</v>
      </c>
      <c r="J16" s="442">
        <v>2000000</v>
      </c>
      <c r="K16" s="440">
        <f t="shared" si="9"/>
        <v>88000000</v>
      </c>
      <c r="L16" s="393">
        <v>0</v>
      </c>
      <c r="M16" s="102">
        <f t="shared" si="0"/>
        <v>0</v>
      </c>
      <c r="N16" s="393">
        <v>1</v>
      </c>
      <c r="O16" s="102">
        <f t="shared" si="1"/>
        <v>2.8571428571428571E-2</v>
      </c>
      <c r="P16" s="393">
        <v>0</v>
      </c>
      <c r="Q16" s="102">
        <f t="shared" si="2"/>
        <v>0</v>
      </c>
      <c r="R16" s="393">
        <f t="shared" si="10"/>
        <v>1</v>
      </c>
      <c r="S16" s="411">
        <f t="shared" si="11"/>
        <v>2.2222222222222223E-2</v>
      </c>
      <c r="T16" s="411">
        <f t="shared" si="12"/>
        <v>2.8571428571428571E-2</v>
      </c>
      <c r="U16" s="411">
        <f t="shared" si="13"/>
        <v>2.5396825396825397E-2</v>
      </c>
      <c r="V16" s="441" t="s">
        <v>971</v>
      </c>
      <c r="W16" s="404">
        <v>90000000</v>
      </c>
      <c r="X16" s="309">
        <v>12206598</v>
      </c>
      <c r="Y16" s="20">
        <f t="shared" si="14"/>
        <v>77793402</v>
      </c>
      <c r="Z16" s="393">
        <v>0</v>
      </c>
      <c r="AA16" s="96">
        <f t="shared" si="3"/>
        <v>0</v>
      </c>
      <c r="AB16" s="393">
        <v>2</v>
      </c>
      <c r="AC16" s="96">
        <f t="shared" si="4"/>
        <v>5.7142857142857141E-2</v>
      </c>
      <c r="AD16" s="393">
        <v>1</v>
      </c>
      <c r="AE16" s="96">
        <f t="shared" si="5"/>
        <v>2.8571428571428571E-2</v>
      </c>
      <c r="AF16" s="393">
        <f t="shared" si="15"/>
        <v>3</v>
      </c>
      <c r="AG16" s="411">
        <f t="shared" si="6"/>
        <v>0.13562886666666665</v>
      </c>
      <c r="AH16" s="411">
        <f t="shared" si="7"/>
        <v>8.5714285714285715E-2</v>
      </c>
      <c r="AI16" s="411">
        <f t="shared" si="16"/>
        <v>0.11067157619047618</v>
      </c>
      <c r="AJ16" s="441" t="s">
        <v>474</v>
      </c>
      <c r="AK16" s="438">
        <v>90000000</v>
      </c>
      <c r="AL16" s="439">
        <v>33896057</v>
      </c>
      <c r="AM16" s="440">
        <f t="shared" si="17"/>
        <v>56103943</v>
      </c>
      <c r="AN16" s="393">
        <v>1</v>
      </c>
      <c r="AO16" s="96">
        <f t="shared" si="18"/>
        <v>2.8571428571428571E-2</v>
      </c>
      <c r="AP16" s="393">
        <v>3</v>
      </c>
      <c r="AQ16" s="96">
        <f t="shared" si="19"/>
        <v>8.5714285714285715E-2</v>
      </c>
      <c r="AR16" s="393">
        <v>0</v>
      </c>
      <c r="AS16" s="96">
        <f t="shared" si="20"/>
        <v>0</v>
      </c>
      <c r="AT16" s="393">
        <f t="shared" si="21"/>
        <v>4</v>
      </c>
      <c r="AU16" s="428">
        <f t="shared" si="8"/>
        <v>0.37662285555555558</v>
      </c>
      <c r="AV16" s="411">
        <f t="shared" si="22"/>
        <v>0.11428571428571428</v>
      </c>
      <c r="AW16" s="428">
        <f t="shared" si="23"/>
        <v>0.24545428492063492</v>
      </c>
      <c r="AX16" s="441" t="s">
        <v>972</v>
      </c>
    </row>
    <row r="17" spans="1:53" ht="45" x14ac:dyDescent="0.25">
      <c r="A17" s="549"/>
      <c r="B17" s="542"/>
      <c r="C17" s="259" t="str">
        <f>[2]SEGUIMIENTO!C44</f>
        <v>SI-PY2.8</v>
      </c>
      <c r="D17" s="259" t="str">
        <f>[2]SEGUIMIENTO!D44</f>
        <v>Capacitación y participación de la Facultad de Ciencias Jurídicas y Políticas en eventos de formación.</v>
      </c>
      <c r="E17" s="259">
        <f>[2]SEGUIMIENTO!E44</f>
        <v>410</v>
      </c>
      <c r="F17" s="425" t="s">
        <v>130</v>
      </c>
      <c r="G17" s="425">
        <v>1</v>
      </c>
      <c r="H17" s="425" t="s">
        <v>973</v>
      </c>
      <c r="I17" s="438">
        <f>[2]SEGUIMIENTO!I44</f>
        <v>8000000</v>
      </c>
      <c r="J17" s="442">
        <v>0</v>
      </c>
      <c r="K17" s="440">
        <f t="shared" si="9"/>
        <v>8000000</v>
      </c>
      <c r="L17" s="393">
        <v>0</v>
      </c>
      <c r="M17" s="102">
        <f t="shared" si="0"/>
        <v>0</v>
      </c>
      <c r="N17" s="393">
        <v>0</v>
      </c>
      <c r="O17" s="102">
        <f t="shared" si="1"/>
        <v>0</v>
      </c>
      <c r="P17" s="393">
        <v>0</v>
      </c>
      <c r="Q17" s="102">
        <f t="shared" si="2"/>
        <v>0</v>
      </c>
      <c r="R17" s="393">
        <f t="shared" si="10"/>
        <v>0</v>
      </c>
      <c r="S17" s="411">
        <f t="shared" si="11"/>
        <v>0</v>
      </c>
      <c r="T17" s="411">
        <f t="shared" si="12"/>
        <v>0</v>
      </c>
      <c r="U17" s="411">
        <f t="shared" si="13"/>
        <v>0</v>
      </c>
      <c r="V17" s="441" t="s">
        <v>470</v>
      </c>
      <c r="W17" s="404">
        <v>8000000</v>
      </c>
      <c r="X17" s="5">
        <v>0</v>
      </c>
      <c r="Y17" s="20">
        <f t="shared" si="14"/>
        <v>8000000</v>
      </c>
      <c r="Z17" s="393">
        <v>0</v>
      </c>
      <c r="AA17" s="96">
        <f t="shared" si="3"/>
        <v>0</v>
      </c>
      <c r="AB17" s="393">
        <v>0</v>
      </c>
      <c r="AC17" s="96">
        <f t="shared" si="4"/>
        <v>0</v>
      </c>
      <c r="AD17" s="393">
        <v>0</v>
      </c>
      <c r="AE17" s="96">
        <f t="shared" si="5"/>
        <v>0</v>
      </c>
      <c r="AF17" s="393">
        <f t="shared" si="15"/>
        <v>0</v>
      </c>
      <c r="AG17" s="411">
        <f t="shared" si="6"/>
        <v>0</v>
      </c>
      <c r="AH17" s="411">
        <f t="shared" si="7"/>
        <v>0</v>
      </c>
      <c r="AI17" s="411">
        <f t="shared" si="16"/>
        <v>0</v>
      </c>
      <c r="AJ17" s="441" t="s">
        <v>470</v>
      </c>
      <c r="AK17" s="438">
        <v>8000000</v>
      </c>
      <c r="AL17" s="442">
        <v>1835395</v>
      </c>
      <c r="AM17" s="440">
        <f t="shared" si="17"/>
        <v>6164605</v>
      </c>
      <c r="AN17" s="393">
        <v>1</v>
      </c>
      <c r="AO17" s="96">
        <f t="shared" si="18"/>
        <v>1</v>
      </c>
      <c r="AP17" s="393">
        <v>1</v>
      </c>
      <c r="AQ17" s="96">
        <f t="shared" si="19"/>
        <v>1</v>
      </c>
      <c r="AR17" s="393">
        <v>1</v>
      </c>
      <c r="AS17" s="96">
        <f t="shared" si="20"/>
        <v>1</v>
      </c>
      <c r="AT17" s="393">
        <f t="shared" si="21"/>
        <v>3</v>
      </c>
      <c r="AU17" s="428">
        <f t="shared" si="8"/>
        <v>0.22942437500000001</v>
      </c>
      <c r="AV17" s="411">
        <f t="shared" si="22"/>
        <v>3</v>
      </c>
      <c r="AW17" s="428">
        <f t="shared" si="23"/>
        <v>1.6147121874999999</v>
      </c>
      <c r="AX17" s="441" t="s">
        <v>974</v>
      </c>
    </row>
    <row r="18" spans="1:53" ht="255" x14ac:dyDescent="0.25">
      <c r="A18" s="549"/>
      <c r="B18" s="543"/>
      <c r="C18" s="259" t="str">
        <f>[2]SEGUIMIENTO!C45</f>
        <v>SI-PY2.9</v>
      </c>
      <c r="D18" s="259" t="str">
        <f>[2]SEGUIMIENTO!D45</f>
        <v>Apoyo al desarrollo de los Doctorados: Agroindustria y Desarrollo Agricola Sostenible;  Educación y Cultura Ambiental; en Ciencias de la Salud.</v>
      </c>
      <c r="E18" s="259">
        <f>[2]SEGUIMIENTO!E45</f>
        <v>410</v>
      </c>
      <c r="F18" s="425" t="s">
        <v>133</v>
      </c>
      <c r="G18" s="425">
        <v>3</v>
      </c>
      <c r="H18" s="425" t="s">
        <v>134</v>
      </c>
      <c r="I18" s="438">
        <f>[2]SEGUIMIENTO!I45</f>
        <v>215907499</v>
      </c>
      <c r="J18" s="439">
        <v>71376979</v>
      </c>
      <c r="K18" s="440">
        <f t="shared" si="9"/>
        <v>144530520</v>
      </c>
      <c r="L18" s="393">
        <v>1</v>
      </c>
      <c r="M18" s="102">
        <f t="shared" si="0"/>
        <v>0.33333333333333331</v>
      </c>
      <c r="N18" s="393">
        <v>2</v>
      </c>
      <c r="O18" s="102">
        <f t="shared" si="1"/>
        <v>0.66666666666666663</v>
      </c>
      <c r="P18" s="393">
        <v>0</v>
      </c>
      <c r="Q18" s="102">
        <f t="shared" si="2"/>
        <v>0</v>
      </c>
      <c r="R18" s="393">
        <f t="shared" si="10"/>
        <v>3</v>
      </c>
      <c r="S18" s="411">
        <f t="shared" si="11"/>
        <v>0.3305905507246879</v>
      </c>
      <c r="T18" s="411">
        <f t="shared" si="12"/>
        <v>1</v>
      </c>
      <c r="U18" s="411">
        <f t="shared" si="13"/>
        <v>0.66529527536234401</v>
      </c>
      <c r="V18" s="29" t="s">
        <v>975</v>
      </c>
      <c r="W18" s="404">
        <v>319946741</v>
      </c>
      <c r="X18" s="309">
        <v>147368895</v>
      </c>
      <c r="Y18" s="20">
        <f t="shared" si="14"/>
        <v>172577846</v>
      </c>
      <c r="Z18" s="393">
        <v>0</v>
      </c>
      <c r="AA18" s="96">
        <f t="shared" si="3"/>
        <v>0</v>
      </c>
      <c r="AB18" s="393">
        <v>0</v>
      </c>
      <c r="AC18" s="96">
        <f t="shared" si="4"/>
        <v>0</v>
      </c>
      <c r="AD18" s="393">
        <v>0</v>
      </c>
      <c r="AE18" s="96">
        <f t="shared" si="5"/>
        <v>0</v>
      </c>
      <c r="AF18" s="393">
        <f t="shared" si="15"/>
        <v>0</v>
      </c>
      <c r="AG18" s="411">
        <f t="shared" si="6"/>
        <v>0.46060445728997129</v>
      </c>
      <c r="AH18" s="411">
        <f t="shared" si="7"/>
        <v>0</v>
      </c>
      <c r="AI18" s="411">
        <f t="shared" si="16"/>
        <v>0.23030222864498565</v>
      </c>
      <c r="AJ18" s="29" t="s">
        <v>976</v>
      </c>
      <c r="AK18" s="438">
        <v>319946741</v>
      </c>
      <c r="AL18" s="439">
        <v>276018908</v>
      </c>
      <c r="AM18" s="440">
        <f t="shared" si="17"/>
        <v>43927833</v>
      </c>
      <c r="AN18" s="393">
        <v>0</v>
      </c>
      <c r="AO18" s="96">
        <f t="shared" si="18"/>
        <v>0</v>
      </c>
      <c r="AP18" s="393">
        <v>0</v>
      </c>
      <c r="AQ18" s="96">
        <f t="shared" si="19"/>
        <v>0</v>
      </c>
      <c r="AR18" s="393">
        <v>0</v>
      </c>
      <c r="AS18" s="96">
        <f t="shared" si="20"/>
        <v>0</v>
      </c>
      <c r="AT18" s="393">
        <f t="shared" si="21"/>
        <v>0</v>
      </c>
      <c r="AU18" s="428">
        <f t="shared" si="8"/>
        <v>0.86270267087983887</v>
      </c>
      <c r="AV18" s="411">
        <f t="shared" si="22"/>
        <v>0</v>
      </c>
      <c r="AW18" s="428">
        <f t="shared" si="23"/>
        <v>0.43135133543991944</v>
      </c>
      <c r="AX18" s="29" t="s">
        <v>976</v>
      </c>
    </row>
    <row r="19" spans="1:53" ht="30" customHeight="1" x14ac:dyDescent="0.25">
      <c r="A19" s="549"/>
      <c r="B19" s="541" t="s">
        <v>135</v>
      </c>
      <c r="C19" s="259" t="str">
        <f>[2]SEGUIMIENTO!C46</f>
        <v>SI-PY3.1</v>
      </c>
      <c r="D19" s="259" t="str">
        <f>[2]SEGUIMIENTO!D46</f>
        <v>Financiación de proyectos de investigación en modalidad trabajos de grado.</v>
      </c>
      <c r="E19" s="259">
        <f>[2]SEGUIMIENTO!E46</f>
        <v>410</v>
      </c>
      <c r="F19" s="425" t="s">
        <v>89</v>
      </c>
      <c r="G19" s="425">
        <v>30</v>
      </c>
      <c r="H19" s="425" t="s">
        <v>116</v>
      </c>
      <c r="I19" s="438">
        <f>[2]SEGUIMIENTO!I46</f>
        <v>40000000</v>
      </c>
      <c r="J19" s="442">
        <v>854000</v>
      </c>
      <c r="K19" s="440">
        <f t="shared" si="9"/>
        <v>39146000</v>
      </c>
      <c r="L19" s="393">
        <v>0</v>
      </c>
      <c r="M19" s="102">
        <f t="shared" si="0"/>
        <v>0</v>
      </c>
      <c r="N19" s="393">
        <v>0</v>
      </c>
      <c r="O19" s="102">
        <f t="shared" si="1"/>
        <v>0</v>
      </c>
      <c r="P19" s="393">
        <v>1</v>
      </c>
      <c r="Q19" s="102">
        <f t="shared" si="2"/>
        <v>3.3333333333333333E-2</v>
      </c>
      <c r="R19" s="393">
        <f t="shared" si="10"/>
        <v>1</v>
      </c>
      <c r="S19" s="411">
        <f t="shared" si="11"/>
        <v>2.1350000000000001E-2</v>
      </c>
      <c r="T19" s="411">
        <f t="shared" si="12"/>
        <v>3.3333333333333333E-2</v>
      </c>
      <c r="U19" s="411">
        <f t="shared" si="13"/>
        <v>2.7341666666666667E-2</v>
      </c>
      <c r="V19" s="29" t="s">
        <v>977</v>
      </c>
      <c r="W19" s="404">
        <v>52000000</v>
      </c>
      <c r="X19" s="309">
        <v>17727970</v>
      </c>
      <c r="Y19" s="20">
        <f t="shared" si="14"/>
        <v>34272030</v>
      </c>
      <c r="Z19" s="393">
        <v>4</v>
      </c>
      <c r="AA19" s="96">
        <f t="shared" si="3"/>
        <v>0.13333333333333333</v>
      </c>
      <c r="AB19" s="393">
        <v>1</v>
      </c>
      <c r="AC19" s="96">
        <f t="shared" si="4"/>
        <v>3.3333333333333333E-2</v>
      </c>
      <c r="AD19" s="393">
        <v>0</v>
      </c>
      <c r="AE19" s="96">
        <f t="shared" si="5"/>
        <v>0</v>
      </c>
      <c r="AF19" s="393">
        <f t="shared" si="15"/>
        <v>5</v>
      </c>
      <c r="AG19" s="411">
        <f t="shared" si="6"/>
        <v>0.34092250000000002</v>
      </c>
      <c r="AH19" s="411">
        <f t="shared" si="7"/>
        <v>0.16666666666666666</v>
      </c>
      <c r="AI19" s="411">
        <f t="shared" si="16"/>
        <v>0.25379458333333332</v>
      </c>
      <c r="AJ19" s="29" t="s">
        <v>978</v>
      </c>
      <c r="AK19" s="438">
        <v>52000000</v>
      </c>
      <c r="AL19" s="439">
        <v>39284471</v>
      </c>
      <c r="AM19" s="440">
        <f t="shared" si="17"/>
        <v>12715529</v>
      </c>
      <c r="AN19" s="393">
        <v>0</v>
      </c>
      <c r="AO19" s="96">
        <f t="shared" si="18"/>
        <v>0</v>
      </c>
      <c r="AP19" s="393">
        <v>5</v>
      </c>
      <c r="AQ19" s="96">
        <f t="shared" si="19"/>
        <v>0.16666666666666666</v>
      </c>
      <c r="AR19" s="393">
        <v>5</v>
      </c>
      <c r="AS19" s="96">
        <f t="shared" si="20"/>
        <v>0.16666666666666666</v>
      </c>
      <c r="AT19" s="393">
        <f t="shared" si="21"/>
        <v>10</v>
      </c>
      <c r="AU19" s="428">
        <f t="shared" si="8"/>
        <v>0.75547059615384615</v>
      </c>
      <c r="AV19" s="411">
        <f t="shared" si="22"/>
        <v>0.33333333333333331</v>
      </c>
      <c r="AW19" s="428">
        <f t="shared" si="23"/>
        <v>0.54440196474358971</v>
      </c>
      <c r="AX19" s="29" t="s">
        <v>979</v>
      </c>
    </row>
    <row r="20" spans="1:53" ht="31.5" customHeight="1" x14ac:dyDescent="0.25">
      <c r="A20" s="549"/>
      <c r="B20" s="542"/>
      <c r="C20" s="259" t="str">
        <f>[2]SEGUIMIENTO!C47</f>
        <v>SI-PY3.2</v>
      </c>
      <c r="D20" s="259" t="str">
        <f>[2]SEGUIMIENTO!D47</f>
        <v>Financiación de proyectos ejecutados por semilleros de investigación.</v>
      </c>
      <c r="E20" s="259">
        <f>[2]SEGUIMIENTO!E47</f>
        <v>410</v>
      </c>
      <c r="F20" s="425" t="s">
        <v>140</v>
      </c>
      <c r="G20" s="425">
        <v>30</v>
      </c>
      <c r="H20" s="425" t="s">
        <v>116</v>
      </c>
      <c r="I20" s="438">
        <f>[2]SEGUIMIENTO!I47</f>
        <v>70000000</v>
      </c>
      <c r="J20" s="442">
        <v>0</v>
      </c>
      <c r="K20" s="440">
        <f t="shared" si="9"/>
        <v>70000000</v>
      </c>
      <c r="L20" s="393">
        <v>0</v>
      </c>
      <c r="M20" s="102">
        <f t="shared" si="0"/>
        <v>0</v>
      </c>
      <c r="N20" s="393">
        <v>0</v>
      </c>
      <c r="O20" s="102">
        <f t="shared" si="1"/>
        <v>0</v>
      </c>
      <c r="P20" s="393">
        <v>0</v>
      </c>
      <c r="Q20" s="102">
        <f t="shared" si="2"/>
        <v>0</v>
      </c>
      <c r="R20" s="393">
        <f t="shared" si="10"/>
        <v>0</v>
      </c>
      <c r="S20" s="411">
        <f t="shared" si="11"/>
        <v>0</v>
      </c>
      <c r="T20" s="411">
        <f t="shared" si="12"/>
        <v>0</v>
      </c>
      <c r="U20" s="411">
        <f t="shared" si="13"/>
        <v>0</v>
      </c>
      <c r="V20" s="441" t="s">
        <v>470</v>
      </c>
      <c r="W20" s="404">
        <v>89000000</v>
      </c>
      <c r="X20" s="5">
        <v>28901534</v>
      </c>
      <c r="Y20" s="20">
        <f t="shared" si="14"/>
        <v>60098466</v>
      </c>
      <c r="Z20" s="393">
        <v>2</v>
      </c>
      <c r="AA20" s="96">
        <f t="shared" si="3"/>
        <v>6.6666666666666666E-2</v>
      </c>
      <c r="AB20" s="393">
        <v>8</v>
      </c>
      <c r="AC20" s="96">
        <f t="shared" si="4"/>
        <v>0.26666666666666666</v>
      </c>
      <c r="AD20" s="393">
        <v>5</v>
      </c>
      <c r="AE20" s="96">
        <f t="shared" si="5"/>
        <v>0.16666666666666666</v>
      </c>
      <c r="AF20" s="393">
        <f t="shared" si="15"/>
        <v>15</v>
      </c>
      <c r="AG20" s="411">
        <f t="shared" si="6"/>
        <v>0.32473633707865168</v>
      </c>
      <c r="AH20" s="411">
        <f t="shared" si="7"/>
        <v>0.5</v>
      </c>
      <c r="AI20" s="411">
        <f t="shared" si="16"/>
        <v>0.41236816853932584</v>
      </c>
      <c r="AJ20" s="441" t="s">
        <v>475</v>
      </c>
      <c r="AK20" s="438">
        <v>89000000</v>
      </c>
      <c r="AL20" s="442">
        <v>44570581</v>
      </c>
      <c r="AM20" s="440">
        <f t="shared" si="17"/>
        <v>44429419</v>
      </c>
      <c r="AN20" s="393">
        <v>0</v>
      </c>
      <c r="AO20" s="96">
        <f t="shared" si="18"/>
        <v>0</v>
      </c>
      <c r="AP20" s="393">
        <v>9</v>
      </c>
      <c r="AQ20" s="96">
        <f t="shared" si="19"/>
        <v>0.3</v>
      </c>
      <c r="AR20" s="393">
        <v>0</v>
      </c>
      <c r="AS20" s="96">
        <f t="shared" si="20"/>
        <v>0</v>
      </c>
      <c r="AT20" s="393">
        <f t="shared" si="21"/>
        <v>9</v>
      </c>
      <c r="AU20" s="428">
        <f t="shared" si="8"/>
        <v>0.50079304494382026</v>
      </c>
      <c r="AV20" s="411">
        <f t="shared" si="22"/>
        <v>0.3</v>
      </c>
      <c r="AW20" s="428">
        <f t="shared" si="23"/>
        <v>0.40039652247191015</v>
      </c>
      <c r="AX20" s="441" t="s">
        <v>980</v>
      </c>
    </row>
    <row r="21" spans="1:53" ht="195" x14ac:dyDescent="0.25">
      <c r="A21" s="549"/>
      <c r="B21" s="542"/>
      <c r="C21" s="259" t="str">
        <f>[2]SEGUIMIENTO!C48</f>
        <v>SI-PY3.3</v>
      </c>
      <c r="D21" s="259" t="str">
        <f>[2]SEGUIMIENTO!D48</f>
        <v>Financiar la vinculación de  jóvenes investigadores.</v>
      </c>
      <c r="E21" s="259">
        <f>[2]SEGUIMIENTO!E48</f>
        <v>410</v>
      </c>
      <c r="F21" s="425" t="s">
        <v>89</v>
      </c>
      <c r="G21" s="425">
        <v>8</v>
      </c>
      <c r="H21" s="425" t="s">
        <v>62</v>
      </c>
      <c r="I21" s="438">
        <f>[2]SEGUIMIENTO!I48</f>
        <v>80000000</v>
      </c>
      <c r="J21" s="442">
        <v>50637660</v>
      </c>
      <c r="K21" s="440">
        <f t="shared" si="9"/>
        <v>29362340</v>
      </c>
      <c r="L21" s="393">
        <v>5</v>
      </c>
      <c r="M21" s="102">
        <f t="shared" si="0"/>
        <v>0.625</v>
      </c>
      <c r="N21" s="393">
        <v>2</v>
      </c>
      <c r="O21" s="102">
        <f t="shared" si="1"/>
        <v>0.25</v>
      </c>
      <c r="P21" s="393">
        <v>5</v>
      </c>
      <c r="Q21" s="102">
        <f t="shared" si="2"/>
        <v>0.625</v>
      </c>
      <c r="R21" s="393">
        <f t="shared" si="10"/>
        <v>12</v>
      </c>
      <c r="S21" s="411">
        <f t="shared" si="11"/>
        <v>0.63297075000000003</v>
      </c>
      <c r="T21" s="411">
        <f t="shared" si="12"/>
        <v>1.5</v>
      </c>
      <c r="U21" s="411">
        <f t="shared" si="13"/>
        <v>1.0664853750000001</v>
      </c>
      <c r="V21" s="29" t="s">
        <v>981</v>
      </c>
      <c r="W21" s="404">
        <v>80000000</v>
      </c>
      <c r="X21" s="309">
        <v>61503458</v>
      </c>
      <c r="Y21" s="20">
        <f t="shared" si="14"/>
        <v>18496542</v>
      </c>
      <c r="Z21" s="393">
        <v>0</v>
      </c>
      <c r="AA21" s="96">
        <f t="shared" si="3"/>
        <v>0</v>
      </c>
      <c r="AB21" s="393">
        <v>0</v>
      </c>
      <c r="AC21" s="96">
        <f t="shared" si="4"/>
        <v>0</v>
      </c>
      <c r="AD21" s="393">
        <v>2</v>
      </c>
      <c r="AE21" s="96">
        <f t="shared" si="5"/>
        <v>0.25</v>
      </c>
      <c r="AF21" s="393">
        <f t="shared" si="15"/>
        <v>2</v>
      </c>
      <c r="AG21" s="411">
        <f t="shared" si="6"/>
        <v>0.76879322500000002</v>
      </c>
      <c r="AH21" s="411">
        <f t="shared" si="7"/>
        <v>0.25</v>
      </c>
      <c r="AI21" s="411">
        <f t="shared" si="16"/>
        <v>0.50939661250000001</v>
      </c>
      <c r="AJ21" s="29" t="s">
        <v>476</v>
      </c>
      <c r="AK21" s="438">
        <v>80000000</v>
      </c>
      <c r="AL21" s="439">
        <v>61503458</v>
      </c>
      <c r="AM21" s="440">
        <f t="shared" si="17"/>
        <v>18496542</v>
      </c>
      <c r="AN21" s="393">
        <v>0</v>
      </c>
      <c r="AO21" s="96">
        <f t="shared" si="18"/>
        <v>0</v>
      </c>
      <c r="AP21" s="393">
        <v>0</v>
      </c>
      <c r="AQ21" s="96">
        <f t="shared" si="19"/>
        <v>0</v>
      </c>
      <c r="AR21" s="393">
        <v>0</v>
      </c>
      <c r="AS21" s="96">
        <f t="shared" si="20"/>
        <v>0</v>
      </c>
      <c r="AT21" s="393">
        <f t="shared" si="21"/>
        <v>0</v>
      </c>
      <c r="AU21" s="428">
        <f t="shared" si="8"/>
        <v>0.76879322500000002</v>
      </c>
      <c r="AV21" s="411">
        <f t="shared" si="22"/>
        <v>0</v>
      </c>
      <c r="AW21" s="428">
        <f t="shared" si="23"/>
        <v>0.38439661250000001</v>
      </c>
      <c r="AX21" s="29" t="s">
        <v>982</v>
      </c>
    </row>
    <row r="22" spans="1:53" ht="120" x14ac:dyDescent="0.25">
      <c r="A22" s="549"/>
      <c r="B22" s="543"/>
      <c r="C22" s="259" t="str">
        <f>[2]SEGUIMIENTO!C49</f>
        <v>SI-PY3.4</v>
      </c>
      <c r="D22" s="259" t="str">
        <f>[2]SEGUIMIENTO!D49</f>
        <v>Capacitación y Desarrollo de talleres para la formación de la investigación.</v>
      </c>
      <c r="E22" s="259">
        <f>[2]SEGUIMIENTO!E49</f>
        <v>410</v>
      </c>
      <c r="F22" s="425"/>
      <c r="G22" s="425">
        <v>2</v>
      </c>
      <c r="H22" s="425" t="s">
        <v>107</v>
      </c>
      <c r="I22" s="438">
        <f>[2]SEGUIMIENTO!I49</f>
        <v>0</v>
      </c>
      <c r="J22" s="442">
        <v>0</v>
      </c>
      <c r="K22" s="440">
        <f t="shared" si="9"/>
        <v>0</v>
      </c>
      <c r="L22" s="393">
        <v>0</v>
      </c>
      <c r="M22" s="102">
        <f t="shared" si="0"/>
        <v>0</v>
      </c>
      <c r="N22" s="393">
        <v>0</v>
      </c>
      <c r="O22" s="102">
        <f t="shared" si="1"/>
        <v>0</v>
      </c>
      <c r="P22" s="393">
        <v>3</v>
      </c>
      <c r="Q22" s="102">
        <f t="shared" si="2"/>
        <v>1.5</v>
      </c>
      <c r="R22" s="393">
        <f t="shared" si="10"/>
        <v>3</v>
      </c>
      <c r="S22" s="411">
        <f t="shared" si="11"/>
        <v>0</v>
      </c>
      <c r="T22" s="411">
        <f t="shared" si="12"/>
        <v>1.5</v>
      </c>
      <c r="U22" s="411">
        <f t="shared" si="13"/>
        <v>0.75</v>
      </c>
      <c r="V22" s="441" t="s">
        <v>983</v>
      </c>
      <c r="W22" s="404">
        <v>3000000</v>
      </c>
      <c r="X22" s="5">
        <v>0</v>
      </c>
      <c r="Y22" s="20">
        <f t="shared" si="14"/>
        <v>3000000</v>
      </c>
      <c r="Z22" s="393">
        <v>0</v>
      </c>
      <c r="AA22" s="96">
        <f t="shared" si="3"/>
        <v>0</v>
      </c>
      <c r="AB22" s="393">
        <v>0</v>
      </c>
      <c r="AC22" s="96">
        <f t="shared" si="4"/>
        <v>0</v>
      </c>
      <c r="AD22" s="393">
        <v>0</v>
      </c>
      <c r="AE22" s="96">
        <f t="shared" si="5"/>
        <v>0</v>
      </c>
      <c r="AF22" s="393">
        <f t="shared" si="15"/>
        <v>0</v>
      </c>
      <c r="AG22" s="411">
        <f t="shared" si="6"/>
        <v>0</v>
      </c>
      <c r="AH22" s="411">
        <f t="shared" si="7"/>
        <v>0</v>
      </c>
      <c r="AI22" s="411">
        <f t="shared" si="16"/>
        <v>0</v>
      </c>
      <c r="AJ22" s="29" t="s">
        <v>470</v>
      </c>
      <c r="AK22" s="438">
        <v>3000000</v>
      </c>
      <c r="AL22" s="442">
        <v>0</v>
      </c>
      <c r="AM22" s="440">
        <f t="shared" si="17"/>
        <v>3000000</v>
      </c>
      <c r="AN22" s="393">
        <v>0</v>
      </c>
      <c r="AO22" s="96">
        <f t="shared" si="18"/>
        <v>0</v>
      </c>
      <c r="AP22" s="393">
        <v>4</v>
      </c>
      <c r="AQ22" s="96">
        <f t="shared" si="19"/>
        <v>2</v>
      </c>
      <c r="AR22" s="393">
        <v>2</v>
      </c>
      <c r="AS22" s="96">
        <f t="shared" si="20"/>
        <v>1</v>
      </c>
      <c r="AT22" s="393">
        <f t="shared" si="21"/>
        <v>6</v>
      </c>
      <c r="AU22" s="428">
        <f t="shared" si="8"/>
        <v>0</v>
      </c>
      <c r="AV22" s="411">
        <f t="shared" si="22"/>
        <v>3</v>
      </c>
      <c r="AW22" s="428">
        <f t="shared" si="23"/>
        <v>1.5</v>
      </c>
      <c r="AX22" s="29" t="s">
        <v>984</v>
      </c>
    </row>
    <row r="23" spans="1:53" ht="92.25" customHeight="1" x14ac:dyDescent="0.25">
      <c r="A23" s="549"/>
      <c r="B23" s="541" t="s">
        <v>143</v>
      </c>
      <c r="C23" s="259" t="str">
        <f>[2]SEGUIMIENTO!C50</f>
        <v>SI-PY4.1</v>
      </c>
      <c r="D23" s="259" t="str">
        <f>[2]SEGUIMIENTO!D50</f>
        <v>Financiar proyectos de investigación de convocatorias internas  y externas.</v>
      </c>
      <c r="E23" s="259">
        <f>[2]SEGUIMIENTO!E50</f>
        <v>410</v>
      </c>
      <c r="F23" s="425" t="s">
        <v>89</v>
      </c>
      <c r="G23" s="425">
        <v>20</v>
      </c>
      <c r="H23" s="425" t="s">
        <v>116</v>
      </c>
      <c r="I23" s="438">
        <f>[2]SEGUIMIENTO!I50</f>
        <v>80000000</v>
      </c>
      <c r="J23" s="442">
        <v>8000000</v>
      </c>
      <c r="K23" s="440">
        <f t="shared" si="9"/>
        <v>72000000</v>
      </c>
      <c r="L23" s="393">
        <v>0</v>
      </c>
      <c r="M23" s="102">
        <f t="shared" si="0"/>
        <v>0</v>
      </c>
      <c r="N23" s="393">
        <v>3</v>
      </c>
      <c r="O23" s="102">
        <f t="shared" si="1"/>
        <v>0.15</v>
      </c>
      <c r="P23" s="393">
        <v>5</v>
      </c>
      <c r="Q23" s="102">
        <f t="shared" si="2"/>
        <v>0.25</v>
      </c>
      <c r="R23" s="393">
        <f t="shared" si="10"/>
        <v>8</v>
      </c>
      <c r="S23" s="411">
        <f t="shared" si="11"/>
        <v>0.1</v>
      </c>
      <c r="T23" s="411">
        <f t="shared" si="12"/>
        <v>0.4</v>
      </c>
      <c r="U23" s="411">
        <f t="shared" si="13"/>
        <v>0.25</v>
      </c>
      <c r="V23" s="29" t="s">
        <v>957</v>
      </c>
      <c r="W23" s="404">
        <v>80000000</v>
      </c>
      <c r="X23" s="5">
        <v>23629998</v>
      </c>
      <c r="Y23" s="20">
        <f t="shared" si="14"/>
        <v>56370002</v>
      </c>
      <c r="Z23" s="393">
        <v>3</v>
      </c>
      <c r="AA23" s="96">
        <f t="shared" si="3"/>
        <v>0.15</v>
      </c>
      <c r="AB23" s="393">
        <v>1</v>
      </c>
      <c r="AC23" s="96">
        <f t="shared" si="4"/>
        <v>0.05</v>
      </c>
      <c r="AD23" s="393">
        <v>2</v>
      </c>
      <c r="AE23" s="96">
        <f t="shared" si="5"/>
        <v>0.1</v>
      </c>
      <c r="AF23" s="393">
        <f t="shared" si="15"/>
        <v>6</v>
      </c>
      <c r="AG23" s="411">
        <f t="shared" si="6"/>
        <v>0.29537497499999998</v>
      </c>
      <c r="AH23" s="411">
        <f t="shared" si="7"/>
        <v>0.3</v>
      </c>
      <c r="AI23" s="411">
        <f t="shared" si="16"/>
        <v>0.29768748749999996</v>
      </c>
      <c r="AJ23" s="29" t="s">
        <v>985</v>
      </c>
      <c r="AK23" s="438">
        <v>80000000</v>
      </c>
      <c r="AL23" s="442">
        <v>79966666</v>
      </c>
      <c r="AM23" s="440">
        <f t="shared" si="17"/>
        <v>33334</v>
      </c>
      <c r="AN23" s="393">
        <v>3</v>
      </c>
      <c r="AO23" s="96">
        <f t="shared" si="18"/>
        <v>0.15</v>
      </c>
      <c r="AP23" s="393">
        <v>3</v>
      </c>
      <c r="AQ23" s="96">
        <f t="shared" si="19"/>
        <v>0.15</v>
      </c>
      <c r="AR23" s="393">
        <v>5</v>
      </c>
      <c r="AS23" s="96">
        <f t="shared" si="20"/>
        <v>0.25</v>
      </c>
      <c r="AT23" s="393">
        <f t="shared" si="21"/>
        <v>11</v>
      </c>
      <c r="AU23" s="428">
        <f t="shared" si="8"/>
        <v>0.99958332500000002</v>
      </c>
      <c r="AV23" s="411">
        <f t="shared" si="22"/>
        <v>0.55000000000000004</v>
      </c>
      <c r="AW23" s="428">
        <f t="shared" si="23"/>
        <v>0.77479166249999998</v>
      </c>
      <c r="AX23" s="29" t="s">
        <v>958</v>
      </c>
    </row>
    <row r="24" spans="1:53" ht="57" customHeight="1" x14ac:dyDescent="0.25">
      <c r="A24" s="549"/>
      <c r="B24" s="542"/>
      <c r="C24" s="259" t="str">
        <f>[2]SEGUIMIENTO!C51</f>
        <v>SI-PY4.2</v>
      </c>
      <c r="D24" s="259" t="str">
        <f>[2]SEGUIMIENTO!D51</f>
        <v>Apoyo para la consolidación de grupos de investigación.</v>
      </c>
      <c r="E24" s="259">
        <f>[2]SEGUIMIENTO!E51</f>
        <v>410</v>
      </c>
      <c r="F24" s="425" t="s">
        <v>148</v>
      </c>
      <c r="G24" s="425">
        <v>5</v>
      </c>
      <c r="H24" s="425" t="s">
        <v>149</v>
      </c>
      <c r="I24" s="438">
        <f>[2]SEGUIMIENTO!I51</f>
        <v>35000000</v>
      </c>
      <c r="J24" s="442">
        <v>2940000</v>
      </c>
      <c r="K24" s="440">
        <f t="shared" si="9"/>
        <v>32060000</v>
      </c>
      <c r="L24" s="393">
        <v>35</v>
      </c>
      <c r="M24" s="102">
        <f t="shared" si="0"/>
        <v>7</v>
      </c>
      <c r="N24" s="393">
        <v>0</v>
      </c>
      <c r="O24" s="102">
        <f t="shared" si="1"/>
        <v>0</v>
      </c>
      <c r="P24" s="393">
        <v>0</v>
      </c>
      <c r="Q24" s="102">
        <f t="shared" si="2"/>
        <v>0</v>
      </c>
      <c r="R24" s="393">
        <f t="shared" si="10"/>
        <v>35</v>
      </c>
      <c r="S24" s="411">
        <f t="shared" si="11"/>
        <v>8.4000000000000005E-2</v>
      </c>
      <c r="T24" s="411">
        <f t="shared" si="12"/>
        <v>7</v>
      </c>
      <c r="U24" s="411">
        <f t="shared" si="13"/>
        <v>3.5419999999999998</v>
      </c>
      <c r="V24" s="441" t="s">
        <v>477</v>
      </c>
      <c r="W24" s="404">
        <v>35000000</v>
      </c>
      <c r="X24" s="309">
        <v>8484279</v>
      </c>
      <c r="Y24" s="20">
        <f t="shared" si="14"/>
        <v>26515721</v>
      </c>
      <c r="Z24" s="393">
        <v>0</v>
      </c>
      <c r="AA24" s="96">
        <f t="shared" si="3"/>
        <v>0</v>
      </c>
      <c r="AB24" s="393">
        <v>0</v>
      </c>
      <c r="AC24" s="96">
        <f t="shared" si="4"/>
        <v>0</v>
      </c>
      <c r="AD24" s="393">
        <v>0</v>
      </c>
      <c r="AE24" s="96">
        <f t="shared" si="5"/>
        <v>0</v>
      </c>
      <c r="AF24" s="393">
        <f t="shared" si="15"/>
        <v>0</v>
      </c>
      <c r="AG24" s="411">
        <f t="shared" si="6"/>
        <v>0.24240797142857143</v>
      </c>
      <c r="AH24" s="411">
        <f t="shared" si="7"/>
        <v>0</v>
      </c>
      <c r="AI24" s="411">
        <f t="shared" si="16"/>
        <v>0.12120398571428571</v>
      </c>
      <c r="AJ24" s="441" t="s">
        <v>986</v>
      </c>
      <c r="AK24" s="438">
        <v>35000000</v>
      </c>
      <c r="AL24" s="439">
        <v>33822152</v>
      </c>
      <c r="AM24" s="440">
        <f t="shared" si="17"/>
        <v>1177848</v>
      </c>
      <c r="AN24" s="393">
        <v>0</v>
      </c>
      <c r="AO24" s="96">
        <f t="shared" si="18"/>
        <v>0</v>
      </c>
      <c r="AP24" s="393">
        <v>0</v>
      </c>
      <c r="AQ24" s="96">
        <f t="shared" si="19"/>
        <v>0</v>
      </c>
      <c r="AR24" s="393">
        <v>0</v>
      </c>
      <c r="AS24" s="96">
        <f t="shared" si="20"/>
        <v>0</v>
      </c>
      <c r="AT24" s="393">
        <f t="shared" si="21"/>
        <v>0</v>
      </c>
      <c r="AU24" s="428">
        <f t="shared" si="8"/>
        <v>0.96634719999999996</v>
      </c>
      <c r="AV24" s="411">
        <f t="shared" si="22"/>
        <v>0</v>
      </c>
      <c r="AW24" s="428">
        <f t="shared" si="23"/>
        <v>0.48317359999999998</v>
      </c>
      <c r="AX24" s="441" t="s">
        <v>987</v>
      </c>
    </row>
    <row r="25" spans="1:53" ht="409.5" x14ac:dyDescent="0.25">
      <c r="A25" s="549"/>
      <c r="B25" s="541" t="s">
        <v>150</v>
      </c>
      <c r="C25" s="259" t="str">
        <f>[2]SEGUIMIENTO!C52</f>
        <v>SI-PY5.1</v>
      </c>
      <c r="D25" s="259" t="str">
        <f>[2]SEGUIMIENTO!D52</f>
        <v>Convenios cofinanciados.</v>
      </c>
      <c r="E25" s="259">
        <f>[2]SEGUIMIENTO!E52</f>
        <v>410</v>
      </c>
      <c r="F25" s="425" t="s">
        <v>89</v>
      </c>
      <c r="G25" s="425">
        <v>9</v>
      </c>
      <c r="H25" s="425" t="s">
        <v>153</v>
      </c>
      <c r="I25" s="438">
        <f>[2]SEGUIMIENTO!I52</f>
        <v>3157557814</v>
      </c>
      <c r="J25" s="442">
        <v>777824048</v>
      </c>
      <c r="K25" s="440">
        <f t="shared" si="9"/>
        <v>2379733766</v>
      </c>
      <c r="L25" s="393">
        <v>4</v>
      </c>
      <c r="M25" s="102">
        <f t="shared" si="0"/>
        <v>0.44444444444444442</v>
      </c>
      <c r="N25" s="393">
        <v>2</v>
      </c>
      <c r="O25" s="102">
        <f t="shared" si="1"/>
        <v>0.22222222222222221</v>
      </c>
      <c r="P25" s="393">
        <v>0</v>
      </c>
      <c r="Q25" s="102">
        <f t="shared" si="2"/>
        <v>0</v>
      </c>
      <c r="R25" s="393">
        <f t="shared" si="10"/>
        <v>6</v>
      </c>
      <c r="S25" s="411">
        <f t="shared" si="11"/>
        <v>0.24633723080264081</v>
      </c>
      <c r="T25" s="411">
        <f t="shared" si="12"/>
        <v>0.66666666666666663</v>
      </c>
      <c r="U25" s="411">
        <f t="shared" si="13"/>
        <v>0.45650194873465372</v>
      </c>
      <c r="V25" s="29" t="s">
        <v>988</v>
      </c>
      <c r="W25" s="404">
        <v>3157557814</v>
      </c>
      <c r="X25" s="309">
        <v>1407137945</v>
      </c>
      <c r="Y25" s="20">
        <f t="shared" si="14"/>
        <v>1750419869</v>
      </c>
      <c r="Z25" s="393">
        <v>0</v>
      </c>
      <c r="AA25" s="96">
        <f t="shared" si="3"/>
        <v>0</v>
      </c>
      <c r="AB25" s="393">
        <v>0</v>
      </c>
      <c r="AC25" s="96">
        <f t="shared" si="4"/>
        <v>0</v>
      </c>
      <c r="AD25" s="393">
        <v>1</v>
      </c>
      <c r="AE25" s="96">
        <f t="shared" si="5"/>
        <v>0.1111111111111111</v>
      </c>
      <c r="AF25" s="393">
        <f t="shared" si="15"/>
        <v>1</v>
      </c>
      <c r="AG25" s="411">
        <f t="shared" si="6"/>
        <v>0.44564122904132508</v>
      </c>
      <c r="AH25" s="411">
        <f t="shared" si="7"/>
        <v>0.1111111111111111</v>
      </c>
      <c r="AI25" s="411">
        <f t="shared" si="16"/>
        <v>0.27837617007621807</v>
      </c>
      <c r="AJ25" s="29" t="s">
        <v>478</v>
      </c>
      <c r="AK25" s="438">
        <v>3157557814</v>
      </c>
      <c r="AL25" s="439">
        <v>2000827932</v>
      </c>
      <c r="AM25" s="440">
        <f t="shared" si="17"/>
        <v>1156729882</v>
      </c>
      <c r="AN25" s="393">
        <v>0</v>
      </c>
      <c r="AO25" s="96">
        <f t="shared" si="18"/>
        <v>0</v>
      </c>
      <c r="AP25" s="393">
        <v>0</v>
      </c>
      <c r="AQ25" s="96">
        <f t="shared" si="19"/>
        <v>0</v>
      </c>
      <c r="AR25" s="393">
        <v>0</v>
      </c>
      <c r="AS25" s="96">
        <f t="shared" si="20"/>
        <v>0</v>
      </c>
      <c r="AT25" s="393">
        <f t="shared" si="21"/>
        <v>0</v>
      </c>
      <c r="AU25" s="428">
        <f t="shared" si="8"/>
        <v>0.6336631187333186</v>
      </c>
      <c r="AV25" s="411">
        <f t="shared" si="22"/>
        <v>0</v>
      </c>
      <c r="AW25" s="428">
        <f t="shared" si="23"/>
        <v>0.3168315593666593</v>
      </c>
      <c r="AX25" s="29" t="s">
        <v>989</v>
      </c>
    </row>
    <row r="26" spans="1:53" ht="41.25" customHeight="1" x14ac:dyDescent="0.25">
      <c r="A26" s="549"/>
      <c r="B26" s="542"/>
      <c r="C26" s="259" t="str">
        <f>[2]SEGUIMIENTO!C53</f>
        <v>SI-PY5.2</v>
      </c>
      <c r="D26" s="259" t="str">
        <f>[2]SEGUIMIENTO!D53</f>
        <v>Gestión de proyectos de investigación en cooperación  regional nacional y/o internacional.</v>
      </c>
      <c r="E26" s="259">
        <f>[2]SEGUIMIENTO!E53</f>
        <v>410</v>
      </c>
      <c r="F26" s="425" t="s">
        <v>89</v>
      </c>
      <c r="G26" s="425">
        <v>1</v>
      </c>
      <c r="H26" s="425" t="s">
        <v>156</v>
      </c>
      <c r="I26" s="438">
        <f>[2]SEGUIMIENTO!I53</f>
        <v>82000000</v>
      </c>
      <c r="J26" s="442">
        <v>49629342</v>
      </c>
      <c r="K26" s="440">
        <f t="shared" si="9"/>
        <v>32370658</v>
      </c>
      <c r="L26" s="393">
        <v>0</v>
      </c>
      <c r="M26" s="102">
        <f t="shared" si="0"/>
        <v>0</v>
      </c>
      <c r="N26" s="393">
        <v>0.25</v>
      </c>
      <c r="O26" s="102">
        <f t="shared" si="1"/>
        <v>0.25</v>
      </c>
      <c r="P26" s="393">
        <v>0</v>
      </c>
      <c r="Q26" s="102">
        <f t="shared" si="2"/>
        <v>0</v>
      </c>
      <c r="R26" s="393">
        <f t="shared" si="10"/>
        <v>0.25</v>
      </c>
      <c r="S26" s="411">
        <f t="shared" si="11"/>
        <v>0.60523587804878054</v>
      </c>
      <c r="T26" s="411">
        <f t="shared" si="12"/>
        <v>0.25</v>
      </c>
      <c r="U26" s="411">
        <f t="shared" si="13"/>
        <v>0.42761793902439027</v>
      </c>
      <c r="V26" s="29" t="s">
        <v>990</v>
      </c>
      <c r="W26" s="404">
        <v>252000000</v>
      </c>
      <c r="X26" s="309">
        <v>60349312</v>
      </c>
      <c r="Y26" s="20">
        <f t="shared" si="14"/>
        <v>191650688</v>
      </c>
      <c r="Z26" s="393">
        <v>0</v>
      </c>
      <c r="AA26" s="96">
        <f t="shared" si="3"/>
        <v>0</v>
      </c>
      <c r="AB26" s="393">
        <v>0</v>
      </c>
      <c r="AC26" s="96">
        <f t="shared" si="4"/>
        <v>0</v>
      </c>
      <c r="AD26" s="393">
        <v>1.35</v>
      </c>
      <c r="AE26" s="96">
        <f t="shared" si="5"/>
        <v>1.35</v>
      </c>
      <c r="AF26" s="393">
        <f t="shared" si="15"/>
        <v>1.35</v>
      </c>
      <c r="AG26" s="411">
        <f t="shared" si="6"/>
        <v>0.23948139682539682</v>
      </c>
      <c r="AH26" s="411">
        <f t="shared" si="7"/>
        <v>1.35</v>
      </c>
      <c r="AI26" s="411">
        <f t="shared" si="16"/>
        <v>0.79474069841269845</v>
      </c>
      <c r="AJ26" s="29" t="s">
        <v>479</v>
      </c>
      <c r="AK26" s="438">
        <v>252000000</v>
      </c>
      <c r="AL26" s="439">
        <v>81629312</v>
      </c>
      <c r="AM26" s="440">
        <f t="shared" si="17"/>
        <v>170370688</v>
      </c>
      <c r="AN26" s="393">
        <v>0</v>
      </c>
      <c r="AO26" s="96">
        <f t="shared" si="18"/>
        <v>0</v>
      </c>
      <c r="AP26" s="393">
        <v>0</v>
      </c>
      <c r="AQ26" s="96">
        <f t="shared" si="19"/>
        <v>0</v>
      </c>
      <c r="AR26" s="393">
        <v>1.4</v>
      </c>
      <c r="AS26" s="96">
        <f t="shared" si="20"/>
        <v>1.4</v>
      </c>
      <c r="AT26" s="393">
        <f t="shared" si="21"/>
        <v>1.4</v>
      </c>
      <c r="AU26" s="428">
        <f t="shared" si="8"/>
        <v>0.32392584126984125</v>
      </c>
      <c r="AV26" s="411">
        <f t="shared" si="22"/>
        <v>1.4</v>
      </c>
      <c r="AW26" s="428">
        <f t="shared" si="23"/>
        <v>0.86196292063492064</v>
      </c>
      <c r="AX26" s="29" t="s">
        <v>991</v>
      </c>
    </row>
    <row r="27" spans="1:53" ht="24" customHeight="1" x14ac:dyDescent="0.25">
      <c r="A27" s="549"/>
      <c r="B27" s="543"/>
      <c r="C27" s="259" t="str">
        <f>[2]SEGUIMIENTO!C54</f>
        <v>SI-PY5.3</v>
      </c>
      <c r="D27" s="259" t="str">
        <f>[2]SEGUIMIENTO!D54</f>
        <v>Divulgación del conocimiento.</v>
      </c>
      <c r="E27" s="259">
        <f>[2]SEGUIMIENTO!E54</f>
        <v>410</v>
      </c>
      <c r="F27" s="425" t="s">
        <v>89</v>
      </c>
      <c r="G27" s="425">
        <v>1</v>
      </c>
      <c r="H27" s="425" t="s">
        <v>159</v>
      </c>
      <c r="I27" s="438">
        <f>[2]SEGUIMIENTO!I54</f>
        <v>0</v>
      </c>
      <c r="J27" s="442"/>
      <c r="K27" s="440">
        <f t="shared" si="9"/>
        <v>0</v>
      </c>
      <c r="L27" s="393">
        <v>0</v>
      </c>
      <c r="M27" s="102">
        <f t="shared" si="0"/>
        <v>0</v>
      </c>
      <c r="N27" s="393">
        <v>0</v>
      </c>
      <c r="O27" s="102">
        <f t="shared" si="1"/>
        <v>0</v>
      </c>
      <c r="P27" s="393">
        <v>0</v>
      </c>
      <c r="Q27" s="102">
        <f t="shared" si="2"/>
        <v>0</v>
      </c>
      <c r="R27" s="393">
        <f t="shared" si="10"/>
        <v>0</v>
      </c>
      <c r="S27" s="411">
        <f t="shared" si="11"/>
        <v>0</v>
      </c>
      <c r="T27" s="411">
        <f t="shared" si="12"/>
        <v>0</v>
      </c>
      <c r="U27" s="411">
        <f t="shared" si="13"/>
        <v>0</v>
      </c>
      <c r="V27" s="443" t="s">
        <v>992</v>
      </c>
      <c r="W27" s="404">
        <f>K27</f>
        <v>0</v>
      </c>
      <c r="X27" s="5">
        <v>0</v>
      </c>
      <c r="Y27" s="20">
        <f t="shared" si="14"/>
        <v>0</v>
      </c>
      <c r="Z27" s="393">
        <v>0</v>
      </c>
      <c r="AA27" s="96">
        <f t="shared" si="3"/>
        <v>0</v>
      </c>
      <c r="AB27" s="393">
        <v>0</v>
      </c>
      <c r="AC27" s="96">
        <f t="shared" si="4"/>
        <v>0</v>
      </c>
      <c r="AD27" s="393">
        <v>0</v>
      </c>
      <c r="AE27" s="96">
        <f t="shared" si="5"/>
        <v>0</v>
      </c>
      <c r="AF27" s="393">
        <f t="shared" si="15"/>
        <v>0</v>
      </c>
      <c r="AG27" s="411">
        <f t="shared" si="6"/>
        <v>0</v>
      </c>
      <c r="AH27" s="411">
        <f t="shared" si="7"/>
        <v>0</v>
      </c>
      <c r="AI27" s="411">
        <f t="shared" si="16"/>
        <v>0</v>
      </c>
      <c r="AJ27" s="443" t="s">
        <v>992</v>
      </c>
      <c r="AK27" s="438">
        <f>Y27</f>
        <v>0</v>
      </c>
      <c r="AL27" s="442">
        <v>0</v>
      </c>
      <c r="AM27" s="440">
        <f t="shared" si="17"/>
        <v>0</v>
      </c>
      <c r="AN27" s="393">
        <v>0</v>
      </c>
      <c r="AO27" s="96">
        <f t="shared" si="18"/>
        <v>0</v>
      </c>
      <c r="AP27" s="393">
        <v>0</v>
      </c>
      <c r="AQ27" s="96">
        <f t="shared" si="19"/>
        <v>0</v>
      </c>
      <c r="AR27" s="393">
        <v>0</v>
      </c>
      <c r="AS27" s="96">
        <f t="shared" si="20"/>
        <v>0</v>
      </c>
      <c r="AT27" s="393">
        <f t="shared" si="21"/>
        <v>0</v>
      </c>
      <c r="AU27" s="428">
        <f t="shared" si="8"/>
        <v>0</v>
      </c>
      <c r="AV27" s="411">
        <f t="shared" si="22"/>
        <v>0</v>
      </c>
      <c r="AW27" s="428">
        <f t="shared" si="23"/>
        <v>0</v>
      </c>
      <c r="AX27" s="443" t="s">
        <v>992</v>
      </c>
      <c r="AY27" s="437"/>
      <c r="AZ27" s="437"/>
      <c r="BA27" s="437"/>
    </row>
    <row r="28" spans="1:53" ht="45" x14ac:dyDescent="0.25">
      <c r="A28" s="549"/>
      <c r="B28" s="40" t="s">
        <v>160</v>
      </c>
      <c r="C28" s="259" t="str">
        <f>[2]SEGUIMIENTO!C55</f>
        <v>SI-PY6.1</v>
      </c>
      <c r="D28" s="259" t="str">
        <f>[2]SEGUIMIENTO!D55</f>
        <v>Diseño de aplicativos digitales para divulgación investigación.</v>
      </c>
      <c r="E28" s="259">
        <f>[2]SEGUIMIENTO!E55</f>
        <v>410</v>
      </c>
      <c r="F28" s="425" t="s">
        <v>89</v>
      </c>
      <c r="G28" s="425">
        <v>1</v>
      </c>
      <c r="H28" s="425" t="s">
        <v>993</v>
      </c>
      <c r="I28" s="438">
        <f>[2]SEGUIMIENTO!I55</f>
        <v>0</v>
      </c>
      <c r="J28" s="442">
        <v>0</v>
      </c>
      <c r="K28" s="440">
        <f t="shared" si="9"/>
        <v>0</v>
      </c>
      <c r="L28" s="393">
        <v>0</v>
      </c>
      <c r="M28" s="102">
        <f t="shared" si="0"/>
        <v>0</v>
      </c>
      <c r="N28" s="393">
        <v>0</v>
      </c>
      <c r="O28" s="102">
        <f t="shared" si="1"/>
        <v>0</v>
      </c>
      <c r="P28" s="393">
        <v>0</v>
      </c>
      <c r="Q28" s="102">
        <f t="shared" si="2"/>
        <v>0</v>
      </c>
      <c r="R28" s="393">
        <f t="shared" si="10"/>
        <v>0</v>
      </c>
      <c r="S28" s="411">
        <f t="shared" si="11"/>
        <v>0</v>
      </c>
      <c r="T28" s="411">
        <f t="shared" si="12"/>
        <v>0</v>
      </c>
      <c r="U28" s="411">
        <f t="shared" si="13"/>
        <v>0</v>
      </c>
      <c r="V28" s="443" t="s">
        <v>992</v>
      </c>
      <c r="W28" s="404">
        <v>1000000</v>
      </c>
      <c r="X28" s="5">
        <v>0</v>
      </c>
      <c r="Y28" s="20">
        <f t="shared" si="14"/>
        <v>1000000</v>
      </c>
      <c r="Z28" s="393">
        <v>1</v>
      </c>
      <c r="AA28" s="96">
        <f t="shared" si="3"/>
        <v>1</v>
      </c>
      <c r="AB28" s="393">
        <v>1</v>
      </c>
      <c r="AC28" s="96">
        <f t="shared" si="4"/>
        <v>1</v>
      </c>
      <c r="AD28" s="393">
        <v>1</v>
      </c>
      <c r="AE28" s="96">
        <f t="shared" si="5"/>
        <v>1</v>
      </c>
      <c r="AF28" s="393">
        <f t="shared" si="15"/>
        <v>3</v>
      </c>
      <c r="AG28" s="411">
        <f t="shared" si="6"/>
        <v>0</v>
      </c>
      <c r="AH28" s="411">
        <f>IFERROR((AF28/G28),0)</f>
        <v>3</v>
      </c>
      <c r="AI28" s="411">
        <f t="shared" si="16"/>
        <v>1.5</v>
      </c>
      <c r="AJ28" s="29" t="s">
        <v>994</v>
      </c>
      <c r="AK28" s="438">
        <v>1000000</v>
      </c>
      <c r="AL28" s="442">
        <v>0</v>
      </c>
      <c r="AM28" s="440">
        <f t="shared" si="17"/>
        <v>1000000</v>
      </c>
      <c r="AN28" s="393">
        <v>0</v>
      </c>
      <c r="AO28" s="96">
        <f t="shared" si="18"/>
        <v>0</v>
      </c>
      <c r="AP28" s="393">
        <v>0</v>
      </c>
      <c r="AQ28" s="96">
        <f t="shared" si="19"/>
        <v>0</v>
      </c>
      <c r="AR28" s="393">
        <v>0</v>
      </c>
      <c r="AS28" s="96">
        <f t="shared" si="20"/>
        <v>0</v>
      </c>
      <c r="AT28" s="393">
        <f t="shared" si="21"/>
        <v>0</v>
      </c>
      <c r="AU28" s="428">
        <f t="shared" si="8"/>
        <v>0</v>
      </c>
      <c r="AV28" s="411">
        <f t="shared" si="22"/>
        <v>0</v>
      </c>
      <c r="AW28" s="428">
        <f t="shared" si="23"/>
        <v>0</v>
      </c>
      <c r="AX28" s="29" t="s">
        <v>995</v>
      </c>
    </row>
    <row r="29" spans="1:53" ht="96" x14ac:dyDescent="0.25">
      <c r="A29" s="549"/>
      <c r="B29" s="83"/>
      <c r="C29" s="259" t="str">
        <f>[2]SEGUIMIENTO!C56</f>
        <v>SI-PY6.2</v>
      </c>
      <c r="D29" s="259" t="str">
        <f>[2]SEGUIMIENTO!D56</f>
        <v>Elaboración y publicación del catálogo y portafolio de productos  Editorial Universidad Surcolombiana.</v>
      </c>
      <c r="E29" s="259">
        <f>[2]SEGUIMIENTO!E56</f>
        <v>410</v>
      </c>
      <c r="F29" s="425" t="s">
        <v>89</v>
      </c>
      <c r="G29" s="425">
        <v>1</v>
      </c>
      <c r="H29" s="425" t="s">
        <v>165</v>
      </c>
      <c r="I29" s="438">
        <f>[2]SEGUIMIENTO!I56</f>
        <v>0</v>
      </c>
      <c r="J29" s="442"/>
      <c r="K29" s="440">
        <f t="shared" si="9"/>
        <v>0</v>
      </c>
      <c r="L29" s="393"/>
      <c r="M29" s="102">
        <f t="shared" si="0"/>
        <v>0</v>
      </c>
      <c r="N29" s="393"/>
      <c r="O29" s="102">
        <f t="shared" si="1"/>
        <v>0</v>
      </c>
      <c r="P29" s="393"/>
      <c r="Q29" s="102">
        <f t="shared" si="2"/>
        <v>0</v>
      </c>
      <c r="R29" s="393">
        <f t="shared" si="10"/>
        <v>0</v>
      </c>
      <c r="S29" s="411">
        <f t="shared" si="11"/>
        <v>0</v>
      </c>
      <c r="T29" s="411">
        <f t="shared" si="12"/>
        <v>0</v>
      </c>
      <c r="U29" s="411">
        <f t="shared" si="13"/>
        <v>0</v>
      </c>
      <c r="V29" s="443" t="s">
        <v>992</v>
      </c>
      <c r="W29" s="404">
        <f>K29</f>
        <v>0</v>
      </c>
      <c r="X29" s="5"/>
      <c r="Y29" s="20">
        <f t="shared" si="14"/>
        <v>0</v>
      </c>
      <c r="Z29" s="393"/>
      <c r="AA29" s="96">
        <f t="shared" si="3"/>
        <v>0</v>
      </c>
      <c r="AB29" s="393"/>
      <c r="AC29" s="96">
        <f t="shared" si="4"/>
        <v>0</v>
      </c>
      <c r="AD29" s="393"/>
      <c r="AE29" s="96">
        <f t="shared" si="5"/>
        <v>0</v>
      </c>
      <c r="AF29" s="393">
        <f t="shared" si="15"/>
        <v>0</v>
      </c>
      <c r="AG29" s="411">
        <f t="shared" si="6"/>
        <v>0</v>
      </c>
      <c r="AH29" s="411">
        <f t="shared" si="7"/>
        <v>0</v>
      </c>
      <c r="AI29" s="411">
        <f t="shared" si="16"/>
        <v>0</v>
      </c>
      <c r="AJ29" s="443" t="s">
        <v>992</v>
      </c>
      <c r="AK29" s="438">
        <f>Y29</f>
        <v>0</v>
      </c>
      <c r="AL29" s="442"/>
      <c r="AM29" s="440">
        <f t="shared" si="17"/>
        <v>0</v>
      </c>
      <c r="AN29" s="393"/>
      <c r="AO29" s="96">
        <f t="shared" si="18"/>
        <v>0</v>
      </c>
      <c r="AP29" s="393"/>
      <c r="AQ29" s="96">
        <f t="shared" si="19"/>
        <v>0</v>
      </c>
      <c r="AR29" s="393"/>
      <c r="AS29" s="96">
        <f t="shared" si="20"/>
        <v>0</v>
      </c>
      <c r="AT29" s="393">
        <f t="shared" si="21"/>
        <v>0</v>
      </c>
      <c r="AU29" s="428">
        <f t="shared" si="8"/>
        <v>0</v>
      </c>
      <c r="AV29" s="411">
        <f t="shared" si="22"/>
        <v>0</v>
      </c>
      <c r="AW29" s="428">
        <f t="shared" si="23"/>
        <v>0</v>
      </c>
      <c r="AX29" s="443" t="s">
        <v>992</v>
      </c>
    </row>
    <row r="30" spans="1:53" ht="45" customHeight="1" x14ac:dyDescent="0.25">
      <c r="A30" s="549"/>
      <c r="B30" s="83"/>
      <c r="C30" s="259" t="str">
        <f>[2]SEGUIMIENTO!C57</f>
        <v>SI-PY6.3</v>
      </c>
      <c r="D30" s="259" t="str">
        <f>[2]SEGUIMIENTO!D57</f>
        <v xml:space="preserve">Adquisión gestores bibliográficos. </v>
      </c>
      <c r="E30" s="259">
        <f>[2]SEGUIMIENTO!E57</f>
        <v>410</v>
      </c>
      <c r="F30" s="425" t="s">
        <v>89</v>
      </c>
      <c r="G30" s="425">
        <v>10</v>
      </c>
      <c r="H30" s="425" t="s">
        <v>168</v>
      </c>
      <c r="I30" s="438">
        <f>[2]SEGUIMIENTO!I57</f>
        <v>0</v>
      </c>
      <c r="J30" s="442"/>
      <c r="K30" s="440">
        <f t="shared" si="9"/>
        <v>0</v>
      </c>
      <c r="L30" s="393"/>
      <c r="M30" s="102">
        <f t="shared" si="0"/>
        <v>0</v>
      </c>
      <c r="N30" s="393"/>
      <c r="O30" s="102">
        <f t="shared" si="1"/>
        <v>0</v>
      </c>
      <c r="P30" s="393"/>
      <c r="Q30" s="102">
        <f t="shared" si="2"/>
        <v>0</v>
      </c>
      <c r="R30" s="393">
        <f t="shared" si="10"/>
        <v>0</v>
      </c>
      <c r="S30" s="411">
        <f t="shared" si="11"/>
        <v>0</v>
      </c>
      <c r="T30" s="411">
        <f t="shared" si="12"/>
        <v>0</v>
      </c>
      <c r="U30" s="411">
        <f t="shared" si="13"/>
        <v>0</v>
      </c>
      <c r="V30" s="443" t="s">
        <v>992</v>
      </c>
      <c r="W30" s="404">
        <f>K30</f>
        <v>0</v>
      </c>
      <c r="X30" s="5"/>
      <c r="Y30" s="20">
        <f t="shared" si="14"/>
        <v>0</v>
      </c>
      <c r="Z30" s="393"/>
      <c r="AA30" s="96">
        <f t="shared" si="3"/>
        <v>0</v>
      </c>
      <c r="AB30" s="393"/>
      <c r="AC30" s="96">
        <f t="shared" si="4"/>
        <v>0</v>
      </c>
      <c r="AD30" s="393"/>
      <c r="AE30" s="96">
        <f t="shared" si="5"/>
        <v>0</v>
      </c>
      <c r="AF30" s="393">
        <f t="shared" si="15"/>
        <v>0</v>
      </c>
      <c r="AG30" s="411">
        <f t="shared" si="6"/>
        <v>0</v>
      </c>
      <c r="AH30" s="411">
        <f t="shared" si="7"/>
        <v>0</v>
      </c>
      <c r="AI30" s="411">
        <f t="shared" si="16"/>
        <v>0</v>
      </c>
      <c r="AJ30" s="443" t="s">
        <v>992</v>
      </c>
      <c r="AK30" s="438">
        <f>Y30</f>
        <v>0</v>
      </c>
      <c r="AL30" s="442"/>
      <c r="AM30" s="440">
        <f t="shared" si="17"/>
        <v>0</v>
      </c>
      <c r="AN30" s="393"/>
      <c r="AO30" s="96">
        <f t="shared" si="18"/>
        <v>0</v>
      </c>
      <c r="AP30" s="393"/>
      <c r="AQ30" s="96">
        <f t="shared" si="19"/>
        <v>0</v>
      </c>
      <c r="AR30" s="393"/>
      <c r="AS30" s="96">
        <f t="shared" si="20"/>
        <v>0</v>
      </c>
      <c r="AT30" s="393">
        <f t="shared" si="21"/>
        <v>0</v>
      </c>
      <c r="AU30" s="428">
        <f t="shared" si="8"/>
        <v>0</v>
      </c>
      <c r="AV30" s="411">
        <f t="shared" si="22"/>
        <v>0</v>
      </c>
      <c r="AW30" s="428">
        <f t="shared" si="23"/>
        <v>0</v>
      </c>
      <c r="AX30" s="443" t="s">
        <v>992</v>
      </c>
    </row>
    <row r="31" spans="1:53" ht="87.75" customHeight="1" x14ac:dyDescent="0.25">
      <c r="A31" s="549"/>
      <c r="B31" s="19"/>
      <c r="C31" s="259" t="str">
        <f>[2]SEGUIMIENTO!C58</f>
        <v>SI-PY6.4</v>
      </c>
      <c r="D31" s="259" t="str">
        <f>[2]SEGUIMIENTO!D58</f>
        <v>Apoyo para la gestión de la investigación  a traves de membresias (ASEUC, EULAC, ABEC, DOI).</v>
      </c>
      <c r="E31" s="259">
        <f>[2]SEGUIMIENTO!E58</f>
        <v>410</v>
      </c>
      <c r="F31" s="425" t="s">
        <v>89</v>
      </c>
      <c r="G31" s="425" t="s">
        <v>171</v>
      </c>
      <c r="H31" s="425" t="s">
        <v>172</v>
      </c>
      <c r="I31" s="438">
        <f>[2]SEGUIMIENTO!I58</f>
        <v>0</v>
      </c>
      <c r="J31" s="442"/>
      <c r="K31" s="440">
        <f t="shared" si="9"/>
        <v>0</v>
      </c>
      <c r="L31" s="393"/>
      <c r="M31" s="102">
        <f t="shared" si="0"/>
        <v>0</v>
      </c>
      <c r="N31" s="393"/>
      <c r="O31" s="102">
        <f t="shared" si="1"/>
        <v>0</v>
      </c>
      <c r="P31" s="393"/>
      <c r="Q31" s="102">
        <f t="shared" si="2"/>
        <v>0</v>
      </c>
      <c r="R31" s="393">
        <f t="shared" si="10"/>
        <v>0</v>
      </c>
      <c r="S31" s="411">
        <f t="shared" si="11"/>
        <v>0</v>
      </c>
      <c r="T31" s="411">
        <f t="shared" si="12"/>
        <v>0</v>
      </c>
      <c r="U31" s="411">
        <f t="shared" si="13"/>
        <v>0</v>
      </c>
      <c r="V31" s="443" t="s">
        <v>992</v>
      </c>
      <c r="W31" s="404">
        <f>K31</f>
        <v>0</v>
      </c>
      <c r="X31" s="5"/>
      <c r="Y31" s="20">
        <f t="shared" si="14"/>
        <v>0</v>
      </c>
      <c r="Z31" s="393"/>
      <c r="AA31" s="96">
        <f t="shared" si="3"/>
        <v>0</v>
      </c>
      <c r="AB31" s="393"/>
      <c r="AC31" s="96">
        <f t="shared" si="4"/>
        <v>0</v>
      </c>
      <c r="AD31" s="393"/>
      <c r="AE31" s="96">
        <f t="shared" si="5"/>
        <v>0</v>
      </c>
      <c r="AF31" s="393">
        <f t="shared" si="15"/>
        <v>0</v>
      </c>
      <c r="AG31" s="411">
        <f t="shared" si="6"/>
        <v>0</v>
      </c>
      <c r="AH31" s="411">
        <f t="shared" si="7"/>
        <v>0</v>
      </c>
      <c r="AI31" s="411">
        <f t="shared" si="16"/>
        <v>0</v>
      </c>
      <c r="AJ31" s="443" t="s">
        <v>992</v>
      </c>
      <c r="AK31" s="438">
        <f>Y31</f>
        <v>0</v>
      </c>
      <c r="AL31" s="442"/>
      <c r="AM31" s="440">
        <f t="shared" si="17"/>
        <v>0</v>
      </c>
      <c r="AN31" s="393"/>
      <c r="AO31" s="96">
        <f t="shared" si="18"/>
        <v>0</v>
      </c>
      <c r="AP31" s="393"/>
      <c r="AQ31" s="96">
        <f t="shared" si="19"/>
        <v>0</v>
      </c>
      <c r="AR31" s="393"/>
      <c r="AS31" s="96">
        <f t="shared" si="20"/>
        <v>0</v>
      </c>
      <c r="AT31" s="393">
        <f t="shared" si="21"/>
        <v>0</v>
      </c>
      <c r="AU31" s="428">
        <f t="shared" si="8"/>
        <v>0</v>
      </c>
      <c r="AV31" s="411">
        <f t="shared" si="22"/>
        <v>0</v>
      </c>
      <c r="AW31" s="428">
        <f t="shared" si="23"/>
        <v>0</v>
      </c>
      <c r="AX31" s="443" t="s">
        <v>992</v>
      </c>
    </row>
    <row r="32" spans="1:53" ht="92.25" customHeight="1" x14ac:dyDescent="0.25">
      <c r="A32" s="549"/>
      <c r="B32" s="541" t="s">
        <v>173</v>
      </c>
      <c r="C32" s="259" t="str">
        <f>[2]SEGUIMIENTO!C59</f>
        <v>SI-PY7.1</v>
      </c>
      <c r="D32" s="259" t="str">
        <f>[2]SEGUIMIENTO!D59</f>
        <v>Adquisión  base datos especializadas para investigación.</v>
      </c>
      <c r="E32" s="259">
        <f>[2]SEGUIMIENTO!E59</f>
        <v>410</v>
      </c>
      <c r="F32" s="425" t="s">
        <v>89</v>
      </c>
      <c r="G32" s="425">
        <v>1</v>
      </c>
      <c r="H32" s="425" t="s">
        <v>996</v>
      </c>
      <c r="I32" s="438">
        <f>[2]SEGUIMIENTO!I59</f>
        <v>0</v>
      </c>
      <c r="J32" s="442">
        <v>0</v>
      </c>
      <c r="K32" s="440">
        <f t="shared" si="9"/>
        <v>0</v>
      </c>
      <c r="L32" s="393"/>
      <c r="M32" s="102">
        <f t="shared" si="0"/>
        <v>0</v>
      </c>
      <c r="N32" s="393"/>
      <c r="O32" s="102">
        <f t="shared" si="1"/>
        <v>0</v>
      </c>
      <c r="P32" s="393"/>
      <c r="Q32" s="102">
        <f t="shared" si="2"/>
        <v>0</v>
      </c>
      <c r="R32" s="393">
        <f t="shared" si="10"/>
        <v>0</v>
      </c>
      <c r="S32" s="411">
        <f t="shared" si="11"/>
        <v>0</v>
      </c>
      <c r="T32" s="411">
        <f t="shared" si="12"/>
        <v>0</v>
      </c>
      <c r="U32" s="411">
        <f t="shared" si="13"/>
        <v>0</v>
      </c>
      <c r="V32" s="443" t="s">
        <v>992</v>
      </c>
      <c r="W32" s="404">
        <v>1000000</v>
      </c>
      <c r="X32" s="5">
        <v>0</v>
      </c>
      <c r="Y32" s="20">
        <f t="shared" si="14"/>
        <v>1000000</v>
      </c>
      <c r="Z32" s="393">
        <v>0</v>
      </c>
      <c r="AA32" s="96">
        <f t="shared" si="3"/>
        <v>0</v>
      </c>
      <c r="AB32" s="393">
        <v>0</v>
      </c>
      <c r="AC32" s="96">
        <f t="shared" si="4"/>
        <v>0</v>
      </c>
      <c r="AD32" s="393">
        <v>0</v>
      </c>
      <c r="AE32" s="96">
        <f t="shared" si="5"/>
        <v>0</v>
      </c>
      <c r="AF32" s="393">
        <f t="shared" si="15"/>
        <v>0</v>
      </c>
      <c r="AG32" s="411">
        <f t="shared" si="6"/>
        <v>0</v>
      </c>
      <c r="AH32" s="411">
        <f t="shared" si="7"/>
        <v>0</v>
      </c>
      <c r="AI32" s="411">
        <f t="shared" si="16"/>
        <v>0</v>
      </c>
      <c r="AJ32" s="443" t="s">
        <v>997</v>
      </c>
      <c r="AK32" s="438">
        <v>1000000</v>
      </c>
      <c r="AL32" s="442">
        <v>0</v>
      </c>
      <c r="AM32" s="440">
        <f t="shared" si="17"/>
        <v>1000000</v>
      </c>
      <c r="AN32" s="393">
        <v>0</v>
      </c>
      <c r="AO32" s="96">
        <f t="shared" si="18"/>
        <v>0</v>
      </c>
      <c r="AP32" s="393">
        <v>0</v>
      </c>
      <c r="AQ32" s="96">
        <f t="shared" si="19"/>
        <v>0</v>
      </c>
      <c r="AR32" s="393">
        <v>0</v>
      </c>
      <c r="AS32" s="96">
        <f t="shared" si="20"/>
        <v>0</v>
      </c>
      <c r="AT32" s="393">
        <f t="shared" si="21"/>
        <v>0</v>
      </c>
      <c r="AU32" s="428">
        <f t="shared" si="8"/>
        <v>0</v>
      </c>
      <c r="AV32" s="411">
        <f t="shared" si="22"/>
        <v>0</v>
      </c>
      <c r="AW32" s="428">
        <f t="shared" si="23"/>
        <v>0</v>
      </c>
      <c r="AX32" s="443" t="s">
        <v>997</v>
      </c>
    </row>
    <row r="33" spans="1:50" s="28" customFormat="1" ht="82.5" customHeight="1" x14ac:dyDescent="0.25">
      <c r="A33" s="549"/>
      <c r="B33" s="543"/>
      <c r="C33" s="259" t="str">
        <f>[2]SEGUIMIENTO!C60</f>
        <v>SI-PY7.2</v>
      </c>
      <c r="D33" s="259" t="str">
        <f>[2]SEGUIMIENTO!D60</f>
        <v>Apoyo a centro de documentación archivistica.</v>
      </c>
      <c r="E33" s="259">
        <f>[2]SEGUIMIENTO!E60</f>
        <v>410</v>
      </c>
      <c r="F33" s="425" t="s">
        <v>89</v>
      </c>
      <c r="G33" s="425" t="s">
        <v>178</v>
      </c>
      <c r="H33" s="425" t="s">
        <v>179</v>
      </c>
      <c r="I33" s="438">
        <f>[2]SEGUIMIENTO!I60</f>
        <v>0</v>
      </c>
      <c r="J33" s="442"/>
      <c r="K33" s="440">
        <f t="shared" si="9"/>
        <v>0</v>
      </c>
      <c r="L33" s="45"/>
      <c r="M33" s="102">
        <f t="shared" si="0"/>
        <v>0</v>
      </c>
      <c r="N33" s="45"/>
      <c r="O33" s="102">
        <f t="shared" si="1"/>
        <v>0</v>
      </c>
      <c r="P33" s="45"/>
      <c r="Q33" s="102">
        <f t="shared" si="2"/>
        <v>0</v>
      </c>
      <c r="R33" s="393">
        <f t="shared" si="10"/>
        <v>0</v>
      </c>
      <c r="S33" s="411">
        <f t="shared" si="11"/>
        <v>0</v>
      </c>
      <c r="T33" s="411">
        <f t="shared" si="12"/>
        <v>0</v>
      </c>
      <c r="U33" s="411">
        <f t="shared" si="13"/>
        <v>0</v>
      </c>
      <c r="V33" s="443" t="s">
        <v>992</v>
      </c>
      <c r="W33" s="404">
        <f>K33</f>
        <v>0</v>
      </c>
      <c r="X33" s="5"/>
      <c r="Y33" s="20">
        <f t="shared" si="14"/>
        <v>0</v>
      </c>
      <c r="Z33" s="45"/>
      <c r="AA33" s="96">
        <f t="shared" si="3"/>
        <v>0</v>
      </c>
      <c r="AB33" s="45"/>
      <c r="AC33" s="96">
        <f t="shared" si="4"/>
        <v>0</v>
      </c>
      <c r="AD33" s="45"/>
      <c r="AE33" s="96">
        <f t="shared" si="5"/>
        <v>0</v>
      </c>
      <c r="AF33" s="393">
        <f t="shared" si="15"/>
        <v>0</v>
      </c>
      <c r="AG33" s="411">
        <f t="shared" si="6"/>
        <v>0</v>
      </c>
      <c r="AH33" s="411">
        <f t="shared" si="7"/>
        <v>0</v>
      </c>
      <c r="AI33" s="411">
        <f t="shared" si="16"/>
        <v>0</v>
      </c>
      <c r="AJ33" s="443" t="s">
        <v>992</v>
      </c>
      <c r="AK33" s="438">
        <f>Y33</f>
        <v>0</v>
      </c>
      <c r="AL33" s="442"/>
      <c r="AM33" s="440">
        <f t="shared" si="17"/>
        <v>0</v>
      </c>
      <c r="AN33" s="45"/>
      <c r="AO33" s="96">
        <f t="shared" si="18"/>
        <v>0</v>
      </c>
      <c r="AP33" s="45"/>
      <c r="AQ33" s="96">
        <f t="shared" si="19"/>
        <v>0</v>
      </c>
      <c r="AR33" s="45"/>
      <c r="AS33" s="96">
        <f t="shared" si="20"/>
        <v>0</v>
      </c>
      <c r="AT33" s="393">
        <f t="shared" si="21"/>
        <v>0</v>
      </c>
      <c r="AU33" s="428">
        <f t="shared" si="8"/>
        <v>0</v>
      </c>
      <c r="AV33" s="411">
        <f t="shared" si="22"/>
        <v>0</v>
      </c>
      <c r="AW33" s="428">
        <f t="shared" si="23"/>
        <v>0</v>
      </c>
      <c r="AX33" s="443" t="s">
        <v>992</v>
      </c>
    </row>
    <row r="34" spans="1:50" ht="61.5" customHeight="1" x14ac:dyDescent="0.25">
      <c r="A34" s="549"/>
      <c r="B34" s="535" t="s">
        <v>180</v>
      </c>
      <c r="C34" s="259" t="str">
        <f>[2]SEGUIMIENTO!C61</f>
        <v>SI-PY8.1</v>
      </c>
      <c r="D34" s="259" t="str">
        <f>[2]SEGUIMIENTO!D61</f>
        <v>Apoyo a la creación y fortalecimiento de centros de investigación y vigilancia tecnológica e innovación.</v>
      </c>
      <c r="E34" s="259">
        <f>[2]SEGUIMIENTO!E61</f>
        <v>410</v>
      </c>
      <c r="F34" s="425" t="s">
        <v>89</v>
      </c>
      <c r="G34" s="425">
        <v>1</v>
      </c>
      <c r="H34" s="425" t="s">
        <v>183</v>
      </c>
      <c r="I34" s="438">
        <f>[2]SEGUIMIENTO!I61</f>
        <v>50000000</v>
      </c>
      <c r="J34" s="442">
        <v>29825607</v>
      </c>
      <c r="K34" s="440">
        <f t="shared" si="9"/>
        <v>20174393</v>
      </c>
      <c r="L34" s="393">
        <v>0</v>
      </c>
      <c r="M34" s="102">
        <f t="shared" si="0"/>
        <v>0</v>
      </c>
      <c r="N34" s="393">
        <v>3</v>
      </c>
      <c r="O34" s="102">
        <f t="shared" si="1"/>
        <v>3</v>
      </c>
      <c r="P34" s="393">
        <v>1</v>
      </c>
      <c r="Q34" s="102">
        <f t="shared" si="2"/>
        <v>1</v>
      </c>
      <c r="R34" s="393">
        <f t="shared" si="10"/>
        <v>4</v>
      </c>
      <c r="S34" s="411">
        <f t="shared" si="11"/>
        <v>0.59651213999999997</v>
      </c>
      <c r="T34" s="411">
        <f t="shared" si="12"/>
        <v>4</v>
      </c>
      <c r="U34" s="411">
        <f t="shared" si="13"/>
        <v>2.2982560699999999</v>
      </c>
      <c r="V34" s="29" t="s">
        <v>998</v>
      </c>
      <c r="W34" s="404">
        <v>80000000</v>
      </c>
      <c r="X34" s="309">
        <v>52507535</v>
      </c>
      <c r="Y34" s="20">
        <f t="shared" si="14"/>
        <v>27492465</v>
      </c>
      <c r="Z34" s="393">
        <v>0</v>
      </c>
      <c r="AA34" s="96">
        <f t="shared" si="3"/>
        <v>0</v>
      </c>
      <c r="AB34" s="393">
        <v>1</v>
      </c>
      <c r="AC34" s="96">
        <f t="shared" si="4"/>
        <v>1</v>
      </c>
      <c r="AD34" s="393">
        <v>0</v>
      </c>
      <c r="AE34" s="96">
        <f t="shared" si="5"/>
        <v>0</v>
      </c>
      <c r="AF34" s="393">
        <f t="shared" si="15"/>
        <v>1</v>
      </c>
      <c r="AG34" s="411">
        <f t="shared" si="6"/>
        <v>0.6563441874999999</v>
      </c>
      <c r="AH34" s="411">
        <f t="shared" si="7"/>
        <v>1</v>
      </c>
      <c r="AI34" s="411">
        <f t="shared" si="16"/>
        <v>0.82817209374999989</v>
      </c>
      <c r="AJ34" s="29" t="s">
        <v>480</v>
      </c>
      <c r="AK34" s="438">
        <v>80000000</v>
      </c>
      <c r="AL34" s="439">
        <v>60413557</v>
      </c>
      <c r="AM34" s="440">
        <f t="shared" si="17"/>
        <v>19586443</v>
      </c>
      <c r="AN34" s="393">
        <v>0</v>
      </c>
      <c r="AO34" s="96">
        <f t="shared" si="18"/>
        <v>0</v>
      </c>
      <c r="AP34" s="393">
        <v>0</v>
      </c>
      <c r="AQ34" s="96">
        <f t="shared" si="19"/>
        <v>0</v>
      </c>
      <c r="AR34" s="393">
        <v>0</v>
      </c>
      <c r="AS34" s="96">
        <f t="shared" si="20"/>
        <v>0</v>
      </c>
      <c r="AT34" s="393">
        <f t="shared" si="21"/>
        <v>0</v>
      </c>
      <c r="AU34" s="428">
        <f t="shared" si="8"/>
        <v>0.75516946250000005</v>
      </c>
      <c r="AV34" s="411">
        <f t="shared" si="22"/>
        <v>0</v>
      </c>
      <c r="AW34" s="428">
        <f t="shared" si="23"/>
        <v>0.37758473125000003</v>
      </c>
      <c r="AX34" s="29" t="s">
        <v>999</v>
      </c>
    </row>
    <row r="35" spans="1:50" ht="33.75" customHeight="1" x14ac:dyDescent="0.25">
      <c r="A35" s="549"/>
      <c r="B35" s="544"/>
      <c r="C35" s="259" t="str">
        <f>[2]SEGUIMIENTO!C62</f>
        <v>SI-PY8.2</v>
      </c>
      <c r="D35" s="259" t="str">
        <f>[2]SEGUIMIENTO!D62</f>
        <v>Apoyo a Proyectos de Investigación ejecutados por los Centros de Desarrollo Tecnológicos.</v>
      </c>
      <c r="E35" s="259">
        <f>[2]SEGUIMIENTO!E62</f>
        <v>410</v>
      </c>
      <c r="F35" s="425" t="s">
        <v>186</v>
      </c>
      <c r="G35" s="425">
        <v>1</v>
      </c>
      <c r="H35" s="425" t="s">
        <v>1000</v>
      </c>
      <c r="I35" s="438">
        <f>[2]SEGUIMIENTO!I62</f>
        <v>55000000</v>
      </c>
      <c r="J35" s="442">
        <v>0</v>
      </c>
      <c r="K35" s="440">
        <f t="shared" si="9"/>
        <v>55000000</v>
      </c>
      <c r="L35" s="393">
        <v>0</v>
      </c>
      <c r="M35" s="102">
        <f t="shared" si="0"/>
        <v>0</v>
      </c>
      <c r="N35" s="393">
        <v>0</v>
      </c>
      <c r="O35" s="102">
        <f t="shared" si="1"/>
        <v>0</v>
      </c>
      <c r="P35" s="393">
        <v>0.25</v>
      </c>
      <c r="Q35" s="102">
        <f t="shared" si="2"/>
        <v>0.25</v>
      </c>
      <c r="R35" s="393">
        <f t="shared" si="10"/>
        <v>0.25</v>
      </c>
      <c r="S35" s="411">
        <f t="shared" si="11"/>
        <v>0</v>
      </c>
      <c r="T35" s="411">
        <f t="shared" si="12"/>
        <v>0.25</v>
      </c>
      <c r="U35" s="411">
        <f t="shared" si="13"/>
        <v>0.125</v>
      </c>
      <c r="V35" s="441" t="s">
        <v>481</v>
      </c>
      <c r="W35" s="404">
        <v>50000000</v>
      </c>
      <c r="X35" s="5">
        <v>29999999</v>
      </c>
      <c r="Y35" s="20">
        <f t="shared" si="14"/>
        <v>20000001</v>
      </c>
      <c r="Z35" s="393">
        <v>0</v>
      </c>
      <c r="AA35" s="96">
        <f t="shared" si="3"/>
        <v>0</v>
      </c>
      <c r="AB35" s="393">
        <v>0</v>
      </c>
      <c r="AC35" s="96">
        <f t="shared" si="4"/>
        <v>0</v>
      </c>
      <c r="AD35" s="393">
        <v>0.25</v>
      </c>
      <c r="AE35" s="96">
        <f t="shared" si="5"/>
        <v>0.25</v>
      </c>
      <c r="AF35" s="393">
        <f t="shared" si="15"/>
        <v>0.25</v>
      </c>
      <c r="AG35" s="411">
        <f t="shared" si="6"/>
        <v>0.59999997999999999</v>
      </c>
      <c r="AH35" s="411">
        <f t="shared" si="7"/>
        <v>0.25</v>
      </c>
      <c r="AI35" s="411">
        <f t="shared" si="16"/>
        <v>0.42499998999999999</v>
      </c>
      <c r="AJ35" s="441" t="s">
        <v>1001</v>
      </c>
      <c r="AK35" s="438">
        <v>50000000</v>
      </c>
      <c r="AL35" s="442">
        <v>41108562</v>
      </c>
      <c r="AM35" s="440">
        <f t="shared" si="17"/>
        <v>8891438</v>
      </c>
      <c r="AN35" s="393">
        <v>0</v>
      </c>
      <c r="AO35" s="96">
        <f t="shared" si="18"/>
        <v>0</v>
      </c>
      <c r="AP35" s="393">
        <v>0</v>
      </c>
      <c r="AQ35" s="96">
        <f t="shared" si="19"/>
        <v>0</v>
      </c>
      <c r="AR35" s="393">
        <v>0.5</v>
      </c>
      <c r="AS35" s="96">
        <f t="shared" si="20"/>
        <v>0.5</v>
      </c>
      <c r="AT35" s="393">
        <f t="shared" si="21"/>
        <v>0.5</v>
      </c>
      <c r="AU35" s="428">
        <f t="shared" si="8"/>
        <v>0.82217123999999997</v>
      </c>
      <c r="AV35" s="411">
        <f t="shared" si="22"/>
        <v>0.5</v>
      </c>
      <c r="AW35" s="428">
        <f t="shared" si="23"/>
        <v>0.66108561999999993</v>
      </c>
      <c r="AX35" s="441" t="s">
        <v>1002</v>
      </c>
    </row>
    <row r="36" spans="1:50" ht="51.75" customHeight="1" x14ac:dyDescent="0.25">
      <c r="A36" s="549"/>
      <c r="B36" s="541" t="s">
        <v>187</v>
      </c>
      <c r="C36" s="259" t="str">
        <f>[2]SEGUIMIENTO!C63</f>
        <v>SI-PY9.1</v>
      </c>
      <c r="D36" s="259" t="str">
        <f>[2]SEGUIMIENTO!D63</f>
        <v xml:space="preserve">Evaluación de artículos, corrección de estilo, diseño, diagramación, impresión y publicación de revistas institucionales. </v>
      </c>
      <c r="E36" s="259">
        <f>[2]SEGUIMIENTO!E63</f>
        <v>410</v>
      </c>
      <c r="F36" s="425" t="s">
        <v>190</v>
      </c>
      <c r="G36" s="425">
        <v>4</v>
      </c>
      <c r="H36" s="425" t="s">
        <v>1003</v>
      </c>
      <c r="I36" s="438">
        <f>[2]SEGUIMIENTO!I63</f>
        <v>40000000</v>
      </c>
      <c r="J36" s="442">
        <v>0</v>
      </c>
      <c r="K36" s="440">
        <f t="shared" si="9"/>
        <v>40000000</v>
      </c>
      <c r="L36" s="393">
        <v>0</v>
      </c>
      <c r="M36" s="102">
        <f t="shared" si="0"/>
        <v>0</v>
      </c>
      <c r="N36" s="393">
        <v>0</v>
      </c>
      <c r="O36" s="102">
        <f t="shared" si="1"/>
        <v>0</v>
      </c>
      <c r="P36" s="393">
        <v>0</v>
      </c>
      <c r="Q36" s="102">
        <f t="shared" si="2"/>
        <v>0</v>
      </c>
      <c r="R36" s="393">
        <f t="shared" si="10"/>
        <v>0</v>
      </c>
      <c r="S36" s="411">
        <f t="shared" si="11"/>
        <v>0</v>
      </c>
      <c r="T36" s="411">
        <f t="shared" si="12"/>
        <v>0</v>
      </c>
      <c r="U36" s="411">
        <f t="shared" si="13"/>
        <v>0</v>
      </c>
      <c r="V36" s="441" t="s">
        <v>470</v>
      </c>
      <c r="W36" s="404">
        <v>40000000</v>
      </c>
      <c r="X36" s="5">
        <v>10266666</v>
      </c>
      <c r="Y36" s="20">
        <f t="shared" si="14"/>
        <v>29733334</v>
      </c>
      <c r="Z36" s="393">
        <v>2</v>
      </c>
      <c r="AA36" s="96">
        <f t="shared" si="3"/>
        <v>0.5</v>
      </c>
      <c r="AB36" s="393">
        <v>0</v>
      </c>
      <c r="AC36" s="96">
        <f t="shared" si="4"/>
        <v>0</v>
      </c>
      <c r="AD36" s="393">
        <v>0</v>
      </c>
      <c r="AE36" s="96">
        <f t="shared" si="5"/>
        <v>0</v>
      </c>
      <c r="AF36" s="393">
        <f t="shared" si="15"/>
        <v>2</v>
      </c>
      <c r="AG36" s="411">
        <f t="shared" si="6"/>
        <v>0.25666665</v>
      </c>
      <c r="AH36" s="411">
        <f t="shared" si="7"/>
        <v>0.5</v>
      </c>
      <c r="AI36" s="411">
        <f t="shared" si="16"/>
        <v>0.378333325</v>
      </c>
      <c r="AJ36" s="441" t="s">
        <v>482</v>
      </c>
      <c r="AK36" s="438">
        <v>40000000</v>
      </c>
      <c r="AL36" s="442">
        <v>15800000</v>
      </c>
      <c r="AM36" s="440">
        <f t="shared" si="17"/>
        <v>24200000</v>
      </c>
      <c r="AN36" s="393">
        <v>0</v>
      </c>
      <c r="AO36" s="96">
        <f t="shared" si="18"/>
        <v>0</v>
      </c>
      <c r="AP36" s="393">
        <v>0</v>
      </c>
      <c r="AQ36" s="96">
        <f t="shared" si="19"/>
        <v>0</v>
      </c>
      <c r="AR36" s="393">
        <v>0</v>
      </c>
      <c r="AS36" s="96">
        <f t="shared" si="20"/>
        <v>0</v>
      </c>
      <c r="AT36" s="393">
        <f t="shared" si="21"/>
        <v>0</v>
      </c>
      <c r="AU36" s="428">
        <f t="shared" si="8"/>
        <v>0.39500000000000002</v>
      </c>
      <c r="AV36" s="411">
        <f t="shared" si="22"/>
        <v>0</v>
      </c>
      <c r="AW36" s="428">
        <f t="shared" si="23"/>
        <v>0.19750000000000001</v>
      </c>
      <c r="AX36" s="441" t="s">
        <v>1004</v>
      </c>
    </row>
    <row r="37" spans="1:50" ht="120" x14ac:dyDescent="0.25">
      <c r="A37" s="549"/>
      <c r="B37" s="542"/>
      <c r="C37" s="259" t="str">
        <f>[2]SEGUIMIENTO!C64</f>
        <v>SI-PY9.2</v>
      </c>
      <c r="D37" s="259" t="str">
        <f>[2]SEGUIMIENTO!D64</f>
        <v xml:space="preserve">Capacitación a editores de revistas científicas;  Taller escritura de artìculos cientìficos. </v>
      </c>
      <c r="E37" s="259">
        <f>[2]SEGUIMIENTO!E64</f>
        <v>410</v>
      </c>
      <c r="F37" s="425" t="s">
        <v>89</v>
      </c>
      <c r="G37" s="425">
        <v>1</v>
      </c>
      <c r="H37" s="425" t="s">
        <v>193</v>
      </c>
      <c r="I37" s="438">
        <f>[2]SEGUIMIENTO!I64</f>
        <v>10000000</v>
      </c>
      <c r="J37" s="442">
        <v>1609073</v>
      </c>
      <c r="K37" s="440">
        <f t="shared" si="9"/>
        <v>8390927</v>
      </c>
      <c r="L37" s="393">
        <v>0</v>
      </c>
      <c r="M37" s="102">
        <f t="shared" si="0"/>
        <v>0</v>
      </c>
      <c r="N37" s="393">
        <v>0</v>
      </c>
      <c r="O37" s="102">
        <f t="shared" si="1"/>
        <v>0</v>
      </c>
      <c r="P37" s="393">
        <v>3</v>
      </c>
      <c r="Q37" s="102">
        <f t="shared" si="2"/>
        <v>3</v>
      </c>
      <c r="R37" s="393">
        <f t="shared" si="10"/>
        <v>3</v>
      </c>
      <c r="S37" s="411">
        <f t="shared" si="11"/>
        <v>0.1609073</v>
      </c>
      <c r="T37" s="411">
        <f t="shared" si="12"/>
        <v>3</v>
      </c>
      <c r="U37" s="411">
        <f t="shared" si="13"/>
        <v>1.5804536499999999</v>
      </c>
      <c r="V37" s="441" t="s">
        <v>983</v>
      </c>
      <c r="W37" s="404">
        <v>10000000</v>
      </c>
      <c r="X37" s="309">
        <v>8093873</v>
      </c>
      <c r="Y37" s="20">
        <f t="shared" si="14"/>
        <v>1906127</v>
      </c>
      <c r="Z37" s="393">
        <v>0</v>
      </c>
      <c r="AA37" s="96">
        <f t="shared" si="3"/>
        <v>0</v>
      </c>
      <c r="AB37" s="393">
        <v>0</v>
      </c>
      <c r="AC37" s="96">
        <f t="shared" si="4"/>
        <v>0</v>
      </c>
      <c r="AD37" s="393">
        <v>0</v>
      </c>
      <c r="AE37" s="96">
        <f t="shared" si="5"/>
        <v>0</v>
      </c>
      <c r="AF37" s="393">
        <f t="shared" si="15"/>
        <v>0</v>
      </c>
      <c r="AG37" s="411">
        <f t="shared" si="6"/>
        <v>0.80938730000000003</v>
      </c>
      <c r="AH37" s="411">
        <f t="shared" si="7"/>
        <v>0</v>
      </c>
      <c r="AI37" s="411">
        <f t="shared" si="16"/>
        <v>0.40469365000000002</v>
      </c>
      <c r="AJ37" s="441" t="s">
        <v>1005</v>
      </c>
      <c r="AK37" s="438">
        <v>10000000</v>
      </c>
      <c r="AL37" s="439">
        <v>8093873</v>
      </c>
      <c r="AM37" s="440">
        <f t="shared" si="17"/>
        <v>1906127</v>
      </c>
      <c r="AN37" s="393">
        <v>0</v>
      </c>
      <c r="AO37" s="96">
        <f t="shared" si="18"/>
        <v>0</v>
      </c>
      <c r="AP37" s="393">
        <v>4</v>
      </c>
      <c r="AQ37" s="96">
        <f t="shared" si="19"/>
        <v>4</v>
      </c>
      <c r="AR37" s="393">
        <v>2</v>
      </c>
      <c r="AS37" s="96">
        <f t="shared" si="20"/>
        <v>2</v>
      </c>
      <c r="AT37" s="393">
        <f t="shared" si="21"/>
        <v>6</v>
      </c>
      <c r="AU37" s="428">
        <f t="shared" si="8"/>
        <v>0.80938730000000003</v>
      </c>
      <c r="AV37" s="411">
        <f t="shared" si="22"/>
        <v>6</v>
      </c>
      <c r="AW37" s="428">
        <f t="shared" si="23"/>
        <v>3.40469365</v>
      </c>
      <c r="AX37" s="29" t="s">
        <v>984</v>
      </c>
    </row>
    <row r="38" spans="1:50" ht="195" x14ac:dyDescent="0.25">
      <c r="A38" s="549"/>
      <c r="B38" s="542"/>
      <c r="C38" s="259" t="str">
        <f>[2]SEGUIMIENTO!C65</f>
        <v>SI-PY9.3</v>
      </c>
      <c r="D38" s="259" t="str">
        <f>[2]SEGUIMIENTO!D65</f>
        <v xml:space="preserve">Evaluación, corrección estilo, diagramación  y publicación de libros en las diferentes modalidades.   </v>
      </c>
      <c r="E38" s="259">
        <f>[2]SEGUIMIENTO!E65</f>
        <v>410</v>
      </c>
      <c r="F38" s="425" t="s">
        <v>89</v>
      </c>
      <c r="G38" s="425">
        <v>16</v>
      </c>
      <c r="H38" s="425" t="s">
        <v>1006</v>
      </c>
      <c r="I38" s="438">
        <f>[2]SEGUIMIENTO!I65</f>
        <v>130000000</v>
      </c>
      <c r="J38" s="442">
        <v>67688626</v>
      </c>
      <c r="K38" s="440">
        <f t="shared" si="9"/>
        <v>62311374</v>
      </c>
      <c r="L38" s="393">
        <v>0</v>
      </c>
      <c r="M38" s="102">
        <f t="shared" si="0"/>
        <v>0</v>
      </c>
      <c r="N38" s="393">
        <v>2</v>
      </c>
      <c r="O38" s="102">
        <f t="shared" si="1"/>
        <v>0.125</v>
      </c>
      <c r="P38" s="393">
        <v>8</v>
      </c>
      <c r="Q38" s="102">
        <f t="shared" si="2"/>
        <v>0.5</v>
      </c>
      <c r="R38" s="393">
        <f t="shared" si="10"/>
        <v>10</v>
      </c>
      <c r="S38" s="411">
        <f t="shared" si="11"/>
        <v>0.52068173846153842</v>
      </c>
      <c r="T38" s="411">
        <f t="shared" si="12"/>
        <v>0.625</v>
      </c>
      <c r="U38" s="411">
        <f t="shared" si="13"/>
        <v>0.57284086923076916</v>
      </c>
      <c r="V38" s="29" t="s">
        <v>1007</v>
      </c>
      <c r="W38" s="404">
        <v>130000000</v>
      </c>
      <c r="X38" s="309">
        <v>86207822</v>
      </c>
      <c r="Y38" s="20">
        <f t="shared" si="14"/>
        <v>43792178</v>
      </c>
      <c r="Z38" s="393">
        <v>6</v>
      </c>
      <c r="AA38" s="96">
        <f t="shared" si="3"/>
        <v>0.375</v>
      </c>
      <c r="AB38" s="393">
        <v>0</v>
      </c>
      <c r="AC38" s="96">
        <f t="shared" si="4"/>
        <v>0</v>
      </c>
      <c r="AD38" s="393">
        <v>1</v>
      </c>
      <c r="AE38" s="96">
        <f t="shared" si="5"/>
        <v>6.25E-2</v>
      </c>
      <c r="AF38" s="393">
        <f t="shared" si="15"/>
        <v>7</v>
      </c>
      <c r="AG38" s="411">
        <f t="shared" si="6"/>
        <v>0.66313709230769236</v>
      </c>
      <c r="AH38" s="411">
        <f t="shared" si="7"/>
        <v>0.4375</v>
      </c>
      <c r="AI38" s="411">
        <f t="shared" si="16"/>
        <v>0.55031854615384623</v>
      </c>
      <c r="AJ38" s="25" t="s">
        <v>483</v>
      </c>
      <c r="AK38" s="404">
        <v>130000000</v>
      </c>
      <c r="AL38" s="309">
        <v>92139962</v>
      </c>
      <c r="AM38" s="20">
        <f t="shared" si="17"/>
        <v>37860038</v>
      </c>
      <c r="AN38" s="393">
        <v>0</v>
      </c>
      <c r="AO38" s="96">
        <f t="shared" si="18"/>
        <v>0</v>
      </c>
      <c r="AP38" s="393">
        <v>5</v>
      </c>
      <c r="AQ38" s="96">
        <f t="shared" si="19"/>
        <v>0.3125</v>
      </c>
      <c r="AR38" s="393">
        <v>0</v>
      </c>
      <c r="AS38" s="96">
        <f t="shared" si="20"/>
        <v>0</v>
      </c>
      <c r="AT38" s="393">
        <f t="shared" si="21"/>
        <v>5</v>
      </c>
      <c r="AU38" s="428">
        <f t="shared" si="8"/>
        <v>0.70876893846153843</v>
      </c>
      <c r="AV38" s="411">
        <f t="shared" si="22"/>
        <v>0.3125</v>
      </c>
      <c r="AW38" s="428">
        <f t="shared" si="23"/>
        <v>0.51063446923076916</v>
      </c>
      <c r="AX38" s="29" t="s">
        <v>1008</v>
      </c>
    </row>
    <row r="39" spans="1:50" ht="66.75" customHeight="1" x14ac:dyDescent="0.25">
      <c r="A39" s="549"/>
      <c r="B39" s="542"/>
      <c r="C39" s="259" t="str">
        <f>[2]SEGUIMIENTO!C66</f>
        <v>SI-PY9.4</v>
      </c>
      <c r="D39" s="259" t="str">
        <f>[2]SEGUIMIENTO!D66</f>
        <v>Gestión para la indexación de revistas institucionales.</v>
      </c>
      <c r="E39" s="259">
        <f>[2]SEGUIMIENTO!E66</f>
        <v>410</v>
      </c>
      <c r="F39" s="425" t="s">
        <v>89</v>
      </c>
      <c r="G39" s="425">
        <v>6</v>
      </c>
      <c r="H39" s="425" t="s">
        <v>198</v>
      </c>
      <c r="I39" s="438">
        <f>[2]SEGUIMIENTO!I66</f>
        <v>25000000</v>
      </c>
      <c r="J39" s="442">
        <v>2478575</v>
      </c>
      <c r="K39" s="440">
        <f t="shared" si="9"/>
        <v>22521425</v>
      </c>
      <c r="L39" s="393">
        <v>0</v>
      </c>
      <c r="M39" s="102">
        <f t="shared" si="0"/>
        <v>0</v>
      </c>
      <c r="N39" s="393">
        <v>0</v>
      </c>
      <c r="O39" s="102">
        <f t="shared" si="1"/>
        <v>0</v>
      </c>
      <c r="P39" s="393">
        <v>0</v>
      </c>
      <c r="Q39" s="102">
        <f t="shared" si="2"/>
        <v>0</v>
      </c>
      <c r="R39" s="393">
        <f t="shared" si="10"/>
        <v>0</v>
      </c>
      <c r="S39" s="411">
        <f t="shared" si="11"/>
        <v>9.9142999999999995E-2</v>
      </c>
      <c r="T39" s="411">
        <f t="shared" si="12"/>
        <v>0</v>
      </c>
      <c r="U39" s="411">
        <f t="shared" si="13"/>
        <v>4.9571499999999998E-2</v>
      </c>
      <c r="V39" s="441" t="s">
        <v>470</v>
      </c>
      <c r="W39" s="404">
        <v>25000000</v>
      </c>
      <c r="X39" s="309">
        <v>2478575</v>
      </c>
      <c r="Y39" s="20">
        <f t="shared" si="14"/>
        <v>22521425</v>
      </c>
      <c r="Z39" s="393">
        <v>0</v>
      </c>
      <c r="AA39" s="96">
        <f t="shared" si="3"/>
        <v>0</v>
      </c>
      <c r="AB39" s="393">
        <v>0</v>
      </c>
      <c r="AC39" s="96">
        <f t="shared" si="4"/>
        <v>0</v>
      </c>
      <c r="AD39" s="393">
        <v>6</v>
      </c>
      <c r="AE39" s="96">
        <f t="shared" si="5"/>
        <v>1</v>
      </c>
      <c r="AF39" s="393">
        <f t="shared" si="15"/>
        <v>6</v>
      </c>
      <c r="AG39" s="411">
        <f t="shared" si="6"/>
        <v>9.9142999999999995E-2</v>
      </c>
      <c r="AH39" s="411">
        <f t="shared" si="7"/>
        <v>1</v>
      </c>
      <c r="AI39" s="411">
        <f t="shared" si="16"/>
        <v>0.54957149999999999</v>
      </c>
      <c r="AJ39" s="25" t="s">
        <v>484</v>
      </c>
      <c r="AK39" s="404">
        <v>12449515</v>
      </c>
      <c r="AL39" s="309">
        <v>12449514</v>
      </c>
      <c r="AM39" s="20">
        <f t="shared" si="17"/>
        <v>1</v>
      </c>
      <c r="AN39" s="393">
        <v>0</v>
      </c>
      <c r="AO39" s="96">
        <f t="shared" si="18"/>
        <v>0</v>
      </c>
      <c r="AP39" s="393">
        <v>0</v>
      </c>
      <c r="AQ39" s="96">
        <f t="shared" si="19"/>
        <v>0</v>
      </c>
      <c r="AR39" s="393">
        <v>0</v>
      </c>
      <c r="AS39" s="96">
        <f t="shared" si="20"/>
        <v>0</v>
      </c>
      <c r="AT39" s="393">
        <f t="shared" si="21"/>
        <v>0</v>
      </c>
      <c r="AU39" s="428">
        <f t="shared" si="8"/>
        <v>0.99999991967558577</v>
      </c>
      <c r="AV39" s="411">
        <f t="shared" si="22"/>
        <v>0</v>
      </c>
      <c r="AW39" s="428">
        <f t="shared" si="23"/>
        <v>0.49999995983779288</v>
      </c>
      <c r="AX39" s="29" t="s">
        <v>1009</v>
      </c>
    </row>
    <row r="40" spans="1:50" ht="63" customHeight="1" x14ac:dyDescent="0.25">
      <c r="A40" s="549"/>
      <c r="B40" s="542"/>
      <c r="C40" s="259" t="str">
        <f>[2]SEGUIMIENTO!C67</f>
        <v>SI-PY9.5</v>
      </c>
      <c r="D40" s="259" t="str">
        <f>[2]SEGUIMIENTO!D67</f>
        <v>Apoyo a la consolidación de la editorial Surcolombiana y revistas institucionales.</v>
      </c>
      <c r="E40" s="259">
        <f>[2]SEGUIMIENTO!E67</f>
        <v>410</v>
      </c>
      <c r="F40" s="425" t="s">
        <v>89</v>
      </c>
      <c r="G40" s="425">
        <v>6</v>
      </c>
      <c r="H40" s="425" t="s">
        <v>201</v>
      </c>
      <c r="I40" s="438">
        <f>[2]SEGUIMIENTO!I67</f>
        <v>92267490</v>
      </c>
      <c r="J40" s="442">
        <v>37881867</v>
      </c>
      <c r="K40" s="440">
        <v>34911043</v>
      </c>
      <c r="L40" s="393">
        <v>0</v>
      </c>
      <c r="M40" s="102">
        <f t="shared" si="0"/>
        <v>0</v>
      </c>
      <c r="N40" s="393">
        <v>0</v>
      </c>
      <c r="O40" s="102">
        <f t="shared" si="1"/>
        <v>0</v>
      </c>
      <c r="P40" s="393">
        <v>0</v>
      </c>
      <c r="Q40" s="102">
        <f t="shared" si="2"/>
        <v>0</v>
      </c>
      <c r="R40" s="393">
        <f t="shared" si="10"/>
        <v>0</v>
      </c>
      <c r="S40" s="411">
        <f t="shared" si="11"/>
        <v>0.41056570412829047</v>
      </c>
      <c r="T40" s="411">
        <f t="shared" si="12"/>
        <v>0</v>
      </c>
      <c r="U40" s="411">
        <f t="shared" si="13"/>
        <v>0.20528285206414523</v>
      </c>
      <c r="V40" s="441" t="s">
        <v>1010</v>
      </c>
      <c r="W40" s="404">
        <v>92267490</v>
      </c>
      <c r="X40" s="309">
        <v>57356447</v>
      </c>
      <c r="Y40" s="20">
        <f t="shared" si="14"/>
        <v>34911043</v>
      </c>
      <c r="Z40" s="393">
        <v>0</v>
      </c>
      <c r="AA40" s="96">
        <f t="shared" si="3"/>
        <v>0</v>
      </c>
      <c r="AB40" s="393">
        <v>3</v>
      </c>
      <c r="AC40" s="96">
        <f t="shared" si="4"/>
        <v>0.5</v>
      </c>
      <c r="AD40" s="393">
        <v>0</v>
      </c>
      <c r="AE40" s="96">
        <f t="shared" si="5"/>
        <v>0</v>
      </c>
      <c r="AF40" s="393">
        <f t="shared" si="15"/>
        <v>3</v>
      </c>
      <c r="AG40" s="411">
        <f t="shared" si="6"/>
        <v>0.62163224555040997</v>
      </c>
      <c r="AH40" s="411">
        <f t="shared" si="7"/>
        <v>0.5</v>
      </c>
      <c r="AI40" s="411">
        <f t="shared" si="16"/>
        <v>0.56081612277520498</v>
      </c>
      <c r="AJ40" s="22" t="s">
        <v>485</v>
      </c>
      <c r="AK40" s="404">
        <v>104817975</v>
      </c>
      <c r="AL40" s="309">
        <v>104817975</v>
      </c>
      <c r="AM40" s="20">
        <f t="shared" si="17"/>
        <v>0</v>
      </c>
      <c r="AN40" s="393">
        <v>0</v>
      </c>
      <c r="AO40" s="96">
        <f t="shared" si="18"/>
        <v>0</v>
      </c>
      <c r="AP40" s="393">
        <v>0</v>
      </c>
      <c r="AQ40" s="96">
        <f t="shared" si="19"/>
        <v>0</v>
      </c>
      <c r="AR40" s="393">
        <v>3</v>
      </c>
      <c r="AS40" s="96">
        <f t="shared" si="20"/>
        <v>0.5</v>
      </c>
      <c r="AT40" s="393">
        <f t="shared" si="21"/>
        <v>3</v>
      </c>
      <c r="AU40" s="428">
        <f t="shared" si="8"/>
        <v>1</v>
      </c>
      <c r="AV40" s="411">
        <f t="shared" si="22"/>
        <v>0.5</v>
      </c>
      <c r="AW40" s="428">
        <f t="shared" si="23"/>
        <v>0.75</v>
      </c>
      <c r="AX40" s="441" t="s">
        <v>1011</v>
      </c>
    </row>
    <row r="41" spans="1:50" ht="35.25" customHeight="1" x14ac:dyDescent="0.25">
      <c r="A41" s="550"/>
      <c r="B41" s="543"/>
      <c r="C41" s="259" t="str">
        <f>[2]SEGUIMIENTO!C68</f>
        <v>SI-PY9.6</v>
      </c>
      <c r="D41" s="259" t="str">
        <f>[2]SEGUIMIENTO!D68</f>
        <v>Fortalecimiento, consolidación y mejoramiento de la calidad editorial de la Revista Jurídica Piélagus.</v>
      </c>
      <c r="E41" s="259">
        <f>[2]SEGUIMIENTO!E68</f>
        <v>410</v>
      </c>
      <c r="F41" s="425" t="s">
        <v>204</v>
      </c>
      <c r="G41" s="425">
        <v>1</v>
      </c>
      <c r="H41" s="425" t="s">
        <v>205</v>
      </c>
      <c r="I41" s="438">
        <f>[2]SEGUIMIENTO!I68</f>
        <v>20000000</v>
      </c>
      <c r="J41" s="442">
        <v>11266667</v>
      </c>
      <c r="K41" s="440">
        <f t="shared" si="9"/>
        <v>8733333</v>
      </c>
      <c r="L41" s="393">
        <v>0</v>
      </c>
      <c r="M41" s="102">
        <f t="shared" si="0"/>
        <v>0</v>
      </c>
      <c r="N41" s="393">
        <v>0</v>
      </c>
      <c r="O41" s="102">
        <f t="shared" si="1"/>
        <v>0</v>
      </c>
      <c r="P41" s="393">
        <v>0</v>
      </c>
      <c r="Q41" s="102">
        <f t="shared" si="2"/>
        <v>0</v>
      </c>
      <c r="R41" s="393">
        <f t="shared" si="10"/>
        <v>0</v>
      </c>
      <c r="S41" s="411">
        <f t="shared" si="11"/>
        <v>0.56333334999999995</v>
      </c>
      <c r="T41" s="411">
        <f t="shared" si="12"/>
        <v>0</v>
      </c>
      <c r="U41" s="411">
        <f t="shared" si="13"/>
        <v>0.28166667499999998</v>
      </c>
      <c r="V41" s="441" t="s">
        <v>486</v>
      </c>
      <c r="W41" s="404">
        <v>25000000</v>
      </c>
      <c r="X41" s="309">
        <v>11266667</v>
      </c>
      <c r="Y41" s="20">
        <f t="shared" si="14"/>
        <v>13733333</v>
      </c>
      <c r="Z41" s="393">
        <v>0</v>
      </c>
      <c r="AA41" s="96">
        <f t="shared" si="3"/>
        <v>0</v>
      </c>
      <c r="AB41" s="393">
        <v>0</v>
      </c>
      <c r="AC41" s="96">
        <f t="shared" si="4"/>
        <v>0</v>
      </c>
      <c r="AD41" s="393">
        <v>1</v>
      </c>
      <c r="AE41" s="96">
        <f t="shared" si="5"/>
        <v>1</v>
      </c>
      <c r="AF41" s="393">
        <f t="shared" si="15"/>
        <v>1</v>
      </c>
      <c r="AG41" s="411">
        <f t="shared" si="6"/>
        <v>0.45066667999999999</v>
      </c>
      <c r="AH41" s="411">
        <f t="shared" si="7"/>
        <v>1</v>
      </c>
      <c r="AI41" s="411">
        <f t="shared" si="16"/>
        <v>0.72533333999999994</v>
      </c>
      <c r="AJ41" s="22" t="s">
        <v>486</v>
      </c>
      <c r="AK41" s="404">
        <v>25000000</v>
      </c>
      <c r="AL41" s="309">
        <v>22966667</v>
      </c>
      <c r="AM41" s="20">
        <f t="shared" si="17"/>
        <v>2033333</v>
      </c>
      <c r="AN41" s="393">
        <v>0</v>
      </c>
      <c r="AO41" s="96">
        <f t="shared" si="18"/>
        <v>0</v>
      </c>
      <c r="AP41" s="393">
        <v>0</v>
      </c>
      <c r="AQ41" s="96">
        <f t="shared" si="19"/>
        <v>0</v>
      </c>
      <c r="AR41" s="393">
        <v>0</v>
      </c>
      <c r="AS41" s="96">
        <f t="shared" si="20"/>
        <v>0</v>
      </c>
      <c r="AT41" s="393">
        <f t="shared" si="21"/>
        <v>0</v>
      </c>
      <c r="AU41" s="428">
        <f t="shared" si="8"/>
        <v>0.91866667999999985</v>
      </c>
      <c r="AV41" s="411">
        <f t="shared" si="22"/>
        <v>0</v>
      </c>
      <c r="AW41" s="428">
        <f t="shared" si="23"/>
        <v>0.45933333999999992</v>
      </c>
      <c r="AX41" s="441" t="s">
        <v>1012</v>
      </c>
    </row>
    <row r="42" spans="1:50" s="17" customFormat="1" ht="22.5" customHeight="1" x14ac:dyDescent="0.25">
      <c r="A42" s="30"/>
      <c r="B42" s="526" t="s">
        <v>206</v>
      </c>
      <c r="C42" s="526"/>
      <c r="D42" s="526"/>
      <c r="E42" s="526"/>
      <c r="F42" s="14"/>
      <c r="G42" s="14"/>
      <c r="H42" s="14"/>
      <c r="I42" s="15">
        <f>SUM(I5:I41)</f>
        <v>6782038629</v>
      </c>
      <c r="J42" s="15">
        <f t="shared" ref="J42:K42" si="24">SUM(J5:J41)</f>
        <v>1613550876</v>
      </c>
      <c r="K42" s="15">
        <f t="shared" si="24"/>
        <v>5149013173</v>
      </c>
      <c r="L42" s="222"/>
      <c r="M42" s="222"/>
      <c r="N42" s="222"/>
      <c r="O42" s="222"/>
      <c r="P42" s="222"/>
      <c r="Q42" s="222"/>
      <c r="R42" s="222"/>
      <c r="S42" s="222"/>
      <c r="T42" s="222"/>
      <c r="U42" s="222"/>
      <c r="V42" s="16"/>
      <c r="W42" s="15">
        <f>SUM(W5:W41)</f>
        <v>7127077871</v>
      </c>
      <c r="X42" s="15">
        <f t="shared" ref="X42:Y42" si="25">SUM(X5:X41)</f>
        <v>3075142429</v>
      </c>
      <c r="Y42" s="15">
        <f t="shared" si="25"/>
        <v>4051935442</v>
      </c>
      <c r="Z42" s="222"/>
      <c r="AA42" s="222"/>
      <c r="AB42" s="222"/>
      <c r="AC42" s="222"/>
      <c r="AD42" s="222"/>
      <c r="AE42" s="222"/>
      <c r="AF42" s="222"/>
      <c r="AG42" s="222"/>
      <c r="AH42" s="222"/>
      <c r="AI42" s="222"/>
      <c r="AJ42" s="16"/>
      <c r="AK42" s="15">
        <f>SUM(AK5:AK41)</f>
        <v>7127077871</v>
      </c>
      <c r="AL42" s="15">
        <f t="shared" ref="AL42:AM42" si="26">SUM(AL5:AL41)</f>
        <v>5153369682</v>
      </c>
      <c r="AM42" s="15">
        <f t="shared" si="26"/>
        <v>1973708189</v>
      </c>
      <c r="AN42" s="222"/>
      <c r="AO42" s="222"/>
      <c r="AP42" s="222"/>
      <c r="AQ42" s="222"/>
      <c r="AR42" s="222"/>
      <c r="AS42" s="222"/>
      <c r="AT42" s="222"/>
      <c r="AU42" s="222"/>
      <c r="AV42" s="222"/>
      <c r="AW42" s="222"/>
      <c r="AX42" s="16"/>
    </row>
    <row r="43" spans="1:50" x14ac:dyDescent="0.25">
      <c r="I43" s="67">
        <f>[2]SEGUIMIENTO!W69-'[2]S. INVESTIGACIÓN'!I42</f>
        <v>345039242</v>
      </c>
      <c r="J43" s="67">
        <f>[2]SEGUIMIENTO!X69-'[2]S. INVESTIGACIÓN'!J42</f>
        <v>1461591553</v>
      </c>
      <c r="K43" s="67">
        <f>[2]SEGUIMIENTO!Y69-'[2]S. INVESTIGACIÓN'!K42</f>
        <v>-1097077731</v>
      </c>
      <c r="W43" s="67">
        <f>W42-[2]SEGUIMIENTO!W69</f>
        <v>0</v>
      </c>
      <c r="X43" s="67">
        <f>X42-[2]SEGUIMIENTO!X69</f>
        <v>0</v>
      </c>
      <c r="Y43" s="67">
        <f>Y42-[2]SEGUIMIENTO!Y69</f>
        <v>0</v>
      </c>
      <c r="AK43" s="67">
        <f>AK42-[2]SEGUIMIENTO!AZ69</f>
        <v>7127077871</v>
      </c>
      <c r="AL43" s="67">
        <f>AL42-[2]SEGUIMIENTO!BA69</f>
        <v>5153369682</v>
      </c>
      <c r="AM43" s="67">
        <f>AM42-[2]SEGUIMIENTO!BB69</f>
        <v>1973708189</v>
      </c>
    </row>
    <row r="44" spans="1:50" x14ac:dyDescent="0.25">
      <c r="A44" t="s">
        <v>465</v>
      </c>
    </row>
  </sheetData>
  <mergeCells count="78">
    <mergeCell ref="AX2:AX4"/>
    <mergeCell ref="AN3:AO3"/>
    <mergeCell ref="AP3:AQ3"/>
    <mergeCell ref="AR3:AS3"/>
    <mergeCell ref="AK4:AM4"/>
    <mergeCell ref="AU4:AW4"/>
    <mergeCell ref="AO1:AQ1"/>
    <mergeCell ref="AR1:AS1"/>
    <mergeCell ref="AT1:AU1"/>
    <mergeCell ref="AV1:AW1"/>
    <mergeCell ref="AK2:AK3"/>
    <mergeCell ref="AL2:AL3"/>
    <mergeCell ref="AM2:AM3"/>
    <mergeCell ref="AN2:AS2"/>
    <mergeCell ref="AT2:AT4"/>
    <mergeCell ref="AU2:AU3"/>
    <mergeCell ref="AV2:AV3"/>
    <mergeCell ref="AW2:AW3"/>
    <mergeCell ref="A5:A41"/>
    <mergeCell ref="B32:B33"/>
    <mergeCell ref="B34:B35"/>
    <mergeCell ref="B36:B41"/>
    <mergeCell ref="I4:K4"/>
    <mergeCell ref="H3:H4"/>
    <mergeCell ref="F3:F4"/>
    <mergeCell ref="I2:I3"/>
    <mergeCell ref="J2:J3"/>
    <mergeCell ref="K2:K3"/>
    <mergeCell ref="A3:A4"/>
    <mergeCell ref="B3:B4"/>
    <mergeCell ref="C3:C4"/>
    <mergeCell ref="D3:D4"/>
    <mergeCell ref="E3:E4"/>
    <mergeCell ref="A2:B2"/>
    <mergeCell ref="B42:E42"/>
    <mergeCell ref="B10:B18"/>
    <mergeCell ref="B23:B24"/>
    <mergeCell ref="B25:B27"/>
    <mergeCell ref="B5:B9"/>
    <mergeCell ref="B19:B22"/>
    <mergeCell ref="Z2:AE2"/>
    <mergeCell ref="G3:G4"/>
    <mergeCell ref="L2:Q2"/>
    <mergeCell ref="R2:R4"/>
    <mergeCell ref="S2:S3"/>
    <mergeCell ref="T2:T3"/>
    <mergeCell ref="U2:U3"/>
    <mergeCell ref="L3:M3"/>
    <mergeCell ref="N3:O3"/>
    <mergeCell ref="P3:Q3"/>
    <mergeCell ref="S4:U4"/>
    <mergeCell ref="AB3:AC3"/>
    <mergeCell ref="W2:W3"/>
    <mergeCell ref="X2:X3"/>
    <mergeCell ref="Y2:Y3"/>
    <mergeCell ref="R1:S1"/>
    <mergeCell ref="W4:Y4"/>
    <mergeCell ref="V2:V4"/>
    <mergeCell ref="AD1:AE1"/>
    <mergeCell ref="AJ2:AJ4"/>
    <mergeCell ref="AF2:AF4"/>
    <mergeCell ref="AG4:AI4"/>
    <mergeCell ref="AG2:AG3"/>
    <mergeCell ref="AH2:AH3"/>
    <mergeCell ref="AI2:AI3"/>
    <mergeCell ref="AD3:AE3"/>
    <mergeCell ref="T1:U1"/>
    <mergeCell ref="Z3:AA3"/>
    <mergeCell ref="AF1:AG1"/>
    <mergeCell ref="AH1:AI1"/>
    <mergeCell ref="AA1:AC1"/>
    <mergeCell ref="M1:O1"/>
    <mergeCell ref="P1:Q1"/>
    <mergeCell ref="C2:E2"/>
    <mergeCell ref="F2:H2"/>
    <mergeCell ref="B1:C1"/>
    <mergeCell ref="E1:F1"/>
    <mergeCell ref="G1:H1"/>
  </mergeCells>
  <conditionalFormatting sqref="AH5:AI41">
    <cfRule type="cellIs" dxfId="785" priority="75" operator="greaterThan">
      <formula>50%</formula>
    </cfRule>
    <cfRule type="cellIs" dxfId="784" priority="76" operator="between">
      <formula>37.1%</formula>
      <formula>50%</formula>
    </cfRule>
    <cfRule type="cellIs" dxfId="783" priority="77" operator="between">
      <formula>16%</formula>
      <formula>37%</formula>
    </cfRule>
    <cfRule type="cellIs" dxfId="782" priority="78" operator="lessThan">
      <formula>16%</formula>
    </cfRule>
  </conditionalFormatting>
  <conditionalFormatting sqref="S5:T5">
    <cfRule type="cellIs" dxfId="781" priority="67" operator="greaterThan">
      <formula>24%</formula>
    </cfRule>
    <cfRule type="cellIs" dxfId="780" priority="68" operator="between">
      <formula>19.1%</formula>
      <formula>24%</formula>
    </cfRule>
    <cfRule type="cellIs" dxfId="779" priority="69" operator="between">
      <formula>9%</formula>
      <formula>19%</formula>
    </cfRule>
    <cfRule type="cellIs" dxfId="778" priority="70" operator="lessThan">
      <formula>9%</formula>
    </cfRule>
  </conditionalFormatting>
  <conditionalFormatting sqref="U6:U41">
    <cfRule type="cellIs" dxfId="777" priority="63" operator="greaterThan">
      <formula>24%</formula>
    </cfRule>
    <cfRule type="cellIs" dxfId="776" priority="64" operator="between">
      <formula>19.1%</formula>
      <formula>24%</formula>
    </cfRule>
    <cfRule type="cellIs" dxfId="775" priority="65" operator="between">
      <formula>9%</formula>
      <formula>19%</formula>
    </cfRule>
    <cfRule type="cellIs" dxfId="774" priority="66" operator="lessThan">
      <formula>9%</formula>
    </cfRule>
  </conditionalFormatting>
  <conditionalFormatting sqref="U5">
    <cfRule type="cellIs" dxfId="773" priority="71" operator="greaterThan">
      <formula>24%</formula>
    </cfRule>
    <cfRule type="cellIs" dxfId="772" priority="72" operator="between">
      <formula>19.1%</formula>
      <formula>24%</formula>
    </cfRule>
    <cfRule type="cellIs" dxfId="771" priority="73" operator="between">
      <formula>9%</formula>
      <formula>19%</formula>
    </cfRule>
    <cfRule type="cellIs" dxfId="770" priority="74" operator="lessThan">
      <formula>9%</formula>
    </cfRule>
  </conditionalFormatting>
  <conditionalFormatting sqref="T6:T41">
    <cfRule type="cellIs" dxfId="769" priority="59" operator="greaterThan">
      <formula>24%</formula>
    </cfRule>
    <cfRule type="cellIs" dxfId="768" priority="60" operator="between">
      <formula>19.1%</formula>
      <formula>24%</formula>
    </cfRule>
    <cfRule type="cellIs" dxfId="767" priority="61" operator="between">
      <formula>9%</formula>
      <formula>19%</formula>
    </cfRule>
    <cfRule type="cellIs" dxfId="766" priority="62" operator="lessThan">
      <formula>9%</formula>
    </cfRule>
  </conditionalFormatting>
  <conditionalFormatting sqref="AU5 AW5">
    <cfRule type="cellIs" dxfId="765" priority="54" operator="equal">
      <formula>0</formula>
    </cfRule>
  </conditionalFormatting>
  <conditionalFormatting sqref="AU5 AW5">
    <cfRule type="cellIs" dxfId="764" priority="55" operator="greaterThan">
      <formula>74.1%</formula>
    </cfRule>
    <cfRule type="cellIs" dxfId="763" priority="56" operator="between">
      <formula>56.1%</formula>
      <formula>74%</formula>
    </cfRule>
    <cfRule type="cellIs" dxfId="762" priority="57" operator="between">
      <formula>25.1%</formula>
      <formula>56%</formula>
    </cfRule>
    <cfRule type="cellIs" dxfId="761" priority="58" operator="lessThanOrEqual">
      <formula>25%</formula>
    </cfRule>
  </conditionalFormatting>
  <conditionalFormatting sqref="AW6:AW41 AU6:AU41">
    <cfRule type="cellIs" dxfId="760" priority="50" operator="greaterThan">
      <formula>74.1%</formula>
    </cfRule>
    <cfRule type="cellIs" dxfId="759" priority="51" operator="between">
      <formula>56.1%</formula>
      <formula>74%</formula>
    </cfRule>
    <cfRule type="cellIs" dxfId="758" priority="52" operator="between">
      <formula>25.1%</formula>
      <formula>56%</formula>
    </cfRule>
    <cfRule type="cellIs" dxfId="757" priority="53" operator="lessThanOrEqual">
      <formula>25%</formula>
    </cfRule>
  </conditionalFormatting>
  <conditionalFormatting sqref="AW6:AW41 AU6:AU41">
    <cfRule type="cellIs" dxfId="756" priority="49" operator="equal">
      <formula>0</formula>
    </cfRule>
  </conditionalFormatting>
  <conditionalFormatting sqref="S6:S41">
    <cfRule type="cellIs" dxfId="755" priority="45" operator="greaterThan">
      <formula>24%</formula>
    </cfRule>
    <cfRule type="cellIs" dxfId="754" priority="46" operator="between">
      <formula>19.1%</formula>
      <formula>24%</formula>
    </cfRule>
    <cfRule type="cellIs" dxfId="753" priority="47" operator="between">
      <formula>9%</formula>
      <formula>19%</formula>
    </cfRule>
    <cfRule type="cellIs" dxfId="752" priority="48" operator="lessThan">
      <formula>9%</formula>
    </cfRule>
  </conditionalFormatting>
  <conditionalFormatting sqref="AV5">
    <cfRule type="cellIs" dxfId="751" priority="41" operator="greaterThan">
      <formula>50%</formula>
    </cfRule>
    <cfRule type="cellIs" dxfId="750" priority="42" operator="between">
      <formula>37.1%</formula>
      <formula>50%</formula>
    </cfRule>
    <cfRule type="cellIs" dxfId="749" priority="43" operator="between">
      <formula>16%</formula>
      <formula>37%</formula>
    </cfRule>
    <cfRule type="cellIs" dxfId="748" priority="44" operator="lessThan">
      <formula>16%</formula>
    </cfRule>
  </conditionalFormatting>
  <conditionalFormatting sqref="AV6:AV41">
    <cfRule type="cellIs" dxfId="747" priority="37" operator="greaterThan">
      <formula>50%</formula>
    </cfRule>
    <cfRule type="cellIs" dxfId="746" priority="38" operator="between">
      <formula>37.1%</formula>
      <formula>50%</formula>
    </cfRule>
    <cfRule type="cellIs" dxfId="745" priority="39" operator="between">
      <formula>16%</formula>
      <formula>37%</formula>
    </cfRule>
    <cfRule type="cellIs" dxfId="744" priority="40" operator="lessThan">
      <formula>16%</formula>
    </cfRule>
  </conditionalFormatting>
  <conditionalFormatting sqref="AG5">
    <cfRule type="cellIs" dxfId="743" priority="5" operator="greaterThan">
      <formula>50%</formula>
    </cfRule>
    <cfRule type="cellIs" dxfId="742" priority="6" operator="between">
      <formula>37.1%</formula>
      <formula>50%</formula>
    </cfRule>
    <cfRule type="cellIs" dxfId="741" priority="7" operator="between">
      <formula>16%</formula>
      <formula>37%</formula>
    </cfRule>
    <cfRule type="cellIs" dxfId="740" priority="8" operator="lessThan">
      <formula>16%</formula>
    </cfRule>
  </conditionalFormatting>
  <conditionalFormatting sqref="AG6:AG41">
    <cfRule type="cellIs" dxfId="739" priority="1" operator="greaterThan">
      <formula>50%</formula>
    </cfRule>
    <cfRule type="cellIs" dxfId="738" priority="2" operator="between">
      <formula>37.1%</formula>
      <formula>50%</formula>
    </cfRule>
    <cfRule type="cellIs" dxfId="737" priority="3" operator="between">
      <formula>16%</formula>
      <formula>37%</formula>
    </cfRule>
    <cfRule type="cellIs" dxfId="736" priority="4" operator="lessThan">
      <formula>16%</formula>
    </cfRule>
  </conditionalFormatting>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rowBreaks count="1" manualBreakCount="1">
    <brk id="10" max="16383"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AX32"/>
  <sheetViews>
    <sheetView showGridLines="0" zoomScale="90" zoomScaleNormal="90" zoomScalePageLayoutView="50" workbookViewId="0">
      <pane xSplit="3" ySplit="3" topLeftCell="AQ4" activePane="bottomRight" state="frozen"/>
      <selection sqref="A1:A3"/>
      <selection pane="topRight" sqref="A1:A3"/>
      <selection pane="bottomLeft" sqref="A1:A3"/>
      <selection pane="bottomRight" activeCell="BD12" sqref="BD12"/>
    </sheetView>
  </sheetViews>
  <sheetFormatPr baseColWidth="10" defaultRowHeight="15" x14ac:dyDescent="0.25"/>
  <cols>
    <col min="1" max="1" width="11" customWidth="1"/>
    <col min="2" max="2" width="23" customWidth="1"/>
    <col min="3" max="3" width="8.85546875" customWidth="1"/>
    <col min="4" max="4" width="51.42578125" customWidth="1"/>
    <col min="5" max="5" width="6.28515625" customWidth="1"/>
    <col min="6" max="6" width="14.28515625" customWidth="1"/>
    <col min="7" max="7" width="14.28515625" style="103" customWidth="1"/>
    <col min="8" max="8" width="17" customWidth="1"/>
    <col min="9" max="9" width="17.28515625" hidden="1" customWidth="1"/>
    <col min="10" max="10" width="16.28515625" hidden="1" customWidth="1"/>
    <col min="11" max="11" width="14.28515625" hidden="1" customWidth="1"/>
    <col min="12" max="20" width="11.42578125" hidden="1" customWidth="1"/>
    <col min="21" max="21" width="13.140625" hidden="1" customWidth="1"/>
    <col min="22" max="22" width="85.28515625" hidden="1" customWidth="1"/>
    <col min="23" max="23" width="17.28515625" hidden="1" customWidth="1"/>
    <col min="24" max="24" width="16.28515625" hidden="1" customWidth="1"/>
    <col min="25" max="25" width="14.28515625" hidden="1" customWidth="1"/>
    <col min="26" max="34" width="11.42578125" hidden="1" customWidth="1"/>
    <col min="35" max="35" width="13.140625" hidden="1" customWidth="1"/>
    <col min="36" max="36" width="85.28515625" hidden="1" customWidth="1"/>
    <col min="37" max="37" width="15.28515625" customWidth="1"/>
    <col min="39" max="39" width="14.7109375" customWidth="1"/>
    <col min="50" max="50" width="50.7109375" customWidth="1"/>
  </cols>
  <sheetData>
    <row r="1" spans="1:50" ht="15" customHeight="1" x14ac:dyDescent="0.25">
      <c r="A1" s="481" t="s">
        <v>411</v>
      </c>
      <c r="B1" s="482"/>
      <c r="C1" s="483" t="s">
        <v>407</v>
      </c>
      <c r="D1" s="484"/>
      <c r="E1" s="485"/>
      <c r="F1" s="486"/>
      <c r="G1" s="487"/>
      <c r="H1" s="488"/>
      <c r="I1" s="489" t="s">
        <v>0</v>
      </c>
      <c r="J1" s="475" t="s">
        <v>1</v>
      </c>
      <c r="K1" s="475" t="s">
        <v>2</v>
      </c>
      <c r="L1" s="529" t="s">
        <v>3</v>
      </c>
      <c r="M1" s="529"/>
      <c r="N1" s="529"/>
      <c r="O1" s="529"/>
      <c r="P1" s="529"/>
      <c r="Q1" s="529"/>
      <c r="R1" s="529" t="s">
        <v>4</v>
      </c>
      <c r="S1" s="530" t="s">
        <v>5</v>
      </c>
      <c r="T1" s="531" t="s">
        <v>6</v>
      </c>
      <c r="U1" s="530" t="s">
        <v>7</v>
      </c>
      <c r="V1" s="532" t="s">
        <v>8</v>
      </c>
      <c r="W1" s="489" t="s">
        <v>0</v>
      </c>
      <c r="X1" s="475" t="s">
        <v>1</v>
      </c>
      <c r="Y1" s="475" t="s">
        <v>2</v>
      </c>
      <c r="Z1" s="529" t="s">
        <v>3</v>
      </c>
      <c r="AA1" s="529"/>
      <c r="AB1" s="529"/>
      <c r="AC1" s="529"/>
      <c r="AD1" s="529"/>
      <c r="AE1" s="529"/>
      <c r="AF1" s="529" t="s">
        <v>4</v>
      </c>
      <c r="AG1" s="530" t="s">
        <v>5</v>
      </c>
      <c r="AH1" s="531" t="s">
        <v>6</v>
      </c>
      <c r="AI1" s="530" t="s">
        <v>7</v>
      </c>
      <c r="AJ1" s="532" t="s">
        <v>8</v>
      </c>
      <c r="AK1" s="489" t="s">
        <v>0</v>
      </c>
      <c r="AL1" s="475" t="s">
        <v>1</v>
      </c>
      <c r="AM1" s="475" t="s">
        <v>2</v>
      </c>
      <c r="AN1" s="529" t="s">
        <v>3</v>
      </c>
      <c r="AO1" s="529"/>
      <c r="AP1" s="529"/>
      <c r="AQ1" s="529"/>
      <c r="AR1" s="529"/>
      <c r="AS1" s="529"/>
      <c r="AT1" s="529" t="s">
        <v>4</v>
      </c>
      <c r="AU1" s="530" t="s">
        <v>5</v>
      </c>
      <c r="AV1" s="531" t="s">
        <v>6</v>
      </c>
      <c r="AW1" s="530" t="s">
        <v>7</v>
      </c>
      <c r="AX1" s="532" t="s">
        <v>8</v>
      </c>
    </row>
    <row r="2" spans="1:50" ht="28.5" customHeight="1" x14ac:dyDescent="0.25">
      <c r="A2" s="491" t="s">
        <v>9</v>
      </c>
      <c r="B2" s="491" t="s">
        <v>10</v>
      </c>
      <c r="C2" s="492" t="s">
        <v>11</v>
      </c>
      <c r="D2" s="491" t="s">
        <v>12</v>
      </c>
      <c r="E2" s="494" t="s">
        <v>13</v>
      </c>
      <c r="F2" s="476" t="s">
        <v>14</v>
      </c>
      <c r="G2" s="476" t="s">
        <v>15</v>
      </c>
      <c r="H2" s="476" t="s">
        <v>16</v>
      </c>
      <c r="I2" s="490"/>
      <c r="J2" s="475"/>
      <c r="K2" s="475"/>
      <c r="L2" s="529" t="s">
        <v>734</v>
      </c>
      <c r="M2" s="529"/>
      <c r="N2" s="529" t="s">
        <v>735</v>
      </c>
      <c r="O2" s="529"/>
      <c r="P2" s="529" t="s">
        <v>736</v>
      </c>
      <c r="Q2" s="529"/>
      <c r="R2" s="529"/>
      <c r="S2" s="530"/>
      <c r="T2" s="531"/>
      <c r="U2" s="530"/>
      <c r="V2" s="532"/>
      <c r="W2" s="490"/>
      <c r="X2" s="475"/>
      <c r="Y2" s="475"/>
      <c r="Z2" s="529" t="s">
        <v>395</v>
      </c>
      <c r="AA2" s="529"/>
      <c r="AB2" s="529" t="s">
        <v>393</v>
      </c>
      <c r="AC2" s="529"/>
      <c r="AD2" s="529" t="s">
        <v>394</v>
      </c>
      <c r="AE2" s="529"/>
      <c r="AF2" s="529"/>
      <c r="AG2" s="530"/>
      <c r="AH2" s="531"/>
      <c r="AI2" s="530"/>
      <c r="AJ2" s="532"/>
      <c r="AK2" s="490"/>
      <c r="AL2" s="475"/>
      <c r="AM2" s="475"/>
      <c r="AN2" s="529" t="s">
        <v>838</v>
      </c>
      <c r="AO2" s="529"/>
      <c r="AP2" s="529" t="s">
        <v>839</v>
      </c>
      <c r="AQ2" s="529"/>
      <c r="AR2" s="529" t="s">
        <v>840</v>
      </c>
      <c r="AS2" s="529"/>
      <c r="AT2" s="529"/>
      <c r="AU2" s="530"/>
      <c r="AV2" s="531"/>
      <c r="AW2" s="530"/>
      <c r="AX2" s="532"/>
    </row>
    <row r="3" spans="1:50" ht="23.25" customHeight="1" thickBot="1" x14ac:dyDescent="0.3">
      <c r="A3" s="491"/>
      <c r="B3" s="491"/>
      <c r="C3" s="493"/>
      <c r="D3" s="491"/>
      <c r="E3" s="495"/>
      <c r="F3" s="477"/>
      <c r="G3" s="477"/>
      <c r="H3" s="477"/>
      <c r="I3" s="478" t="s">
        <v>17</v>
      </c>
      <c r="J3" s="479"/>
      <c r="K3" s="480"/>
      <c r="L3" s="410" t="s">
        <v>18</v>
      </c>
      <c r="M3" s="410" t="s">
        <v>19</v>
      </c>
      <c r="N3" s="410" t="s">
        <v>18</v>
      </c>
      <c r="O3" s="410" t="s">
        <v>19</v>
      </c>
      <c r="P3" s="410" t="s">
        <v>18</v>
      </c>
      <c r="Q3" s="410" t="s">
        <v>19</v>
      </c>
      <c r="R3" s="565"/>
      <c r="S3" s="564" t="s">
        <v>20</v>
      </c>
      <c r="T3" s="564"/>
      <c r="U3" s="564"/>
      <c r="V3" s="496"/>
      <c r="W3" s="478" t="s">
        <v>17</v>
      </c>
      <c r="X3" s="479"/>
      <c r="Y3" s="480"/>
      <c r="Z3" s="410" t="s">
        <v>18</v>
      </c>
      <c r="AA3" s="410" t="s">
        <v>19</v>
      </c>
      <c r="AB3" s="410" t="s">
        <v>18</v>
      </c>
      <c r="AC3" s="410" t="s">
        <v>19</v>
      </c>
      <c r="AD3" s="410" t="s">
        <v>18</v>
      </c>
      <c r="AE3" s="410" t="s">
        <v>19</v>
      </c>
      <c r="AF3" s="565"/>
      <c r="AG3" s="564" t="s">
        <v>20</v>
      </c>
      <c r="AH3" s="564"/>
      <c r="AI3" s="564"/>
      <c r="AJ3" s="496"/>
      <c r="AK3" s="478" t="s">
        <v>17</v>
      </c>
      <c r="AL3" s="479"/>
      <c r="AM3" s="480"/>
      <c r="AN3" s="410" t="s">
        <v>18</v>
      </c>
      <c r="AO3" s="410" t="s">
        <v>19</v>
      </c>
      <c r="AP3" s="410" t="s">
        <v>18</v>
      </c>
      <c r="AQ3" s="410" t="s">
        <v>19</v>
      </c>
      <c r="AR3" s="410" t="s">
        <v>18</v>
      </c>
      <c r="AS3" s="410" t="s">
        <v>19</v>
      </c>
      <c r="AT3" s="565"/>
      <c r="AU3" s="564" t="s">
        <v>20</v>
      </c>
      <c r="AV3" s="564"/>
      <c r="AW3" s="564"/>
      <c r="AX3" s="496"/>
    </row>
    <row r="4" spans="1:50" s="17" customFormat="1" ht="60.75" customHeight="1" x14ac:dyDescent="0.25">
      <c r="A4" s="573" t="s">
        <v>281</v>
      </c>
      <c r="B4" s="541" t="s">
        <v>282</v>
      </c>
      <c r="C4" s="417" t="str">
        <f>[3]SEGUIMIENTO!C102</f>
        <v>SB-PY1.1</v>
      </c>
      <c r="D4" s="259" t="str">
        <f>[3]SEGUIMIENTO!D102</f>
        <v>Prestación servicio médico a estudiantes en las Sedes</v>
      </c>
      <c r="E4" s="417">
        <f>[3]SEGUIMIENTO!E102</f>
        <v>301</v>
      </c>
      <c r="F4" s="398" t="s">
        <v>285</v>
      </c>
      <c r="G4" s="398">
        <v>1325</v>
      </c>
      <c r="H4" s="398" t="s">
        <v>286</v>
      </c>
      <c r="I4" s="404">
        <f>[3]SEGUIMIENTO!I102</f>
        <v>95000000</v>
      </c>
      <c r="J4" s="404">
        <v>36808354</v>
      </c>
      <c r="K4" s="406">
        <f>I4-J4</f>
        <v>58191646</v>
      </c>
      <c r="L4" s="393">
        <v>8</v>
      </c>
      <c r="M4" s="427">
        <f>IFERROR((L4/G4),0)</f>
        <v>6.0377358490566035E-3</v>
      </c>
      <c r="N4" s="393">
        <v>114</v>
      </c>
      <c r="O4" s="427">
        <f>IFERROR((N4/G4),0)</f>
        <v>8.6037735849056607E-2</v>
      </c>
      <c r="P4" s="393">
        <v>305</v>
      </c>
      <c r="Q4" s="427">
        <f>IFERROR((P4/G4),0)</f>
        <v>0.23018867924528302</v>
      </c>
      <c r="R4" s="122">
        <f>+L4+N4+P4</f>
        <v>427</v>
      </c>
      <c r="S4" s="290">
        <f t="shared" ref="S4:S12" si="0">IFERROR((J4/I4),0)</f>
        <v>0.38745635789473687</v>
      </c>
      <c r="T4" s="411">
        <f t="shared" ref="T4:T15" si="1">M4+O4+Q4</f>
        <v>0.32226415094339622</v>
      </c>
      <c r="U4" s="411">
        <f>(S4+T4)/2</f>
        <v>0.35486025441906655</v>
      </c>
      <c r="V4" s="272" t="s">
        <v>512</v>
      </c>
      <c r="W4" s="404">
        <v>95000000</v>
      </c>
      <c r="X4" s="404">
        <v>39808354</v>
      </c>
      <c r="Y4" s="406">
        <f>W4-X4</f>
        <v>55191646</v>
      </c>
      <c r="Z4" s="393">
        <v>217</v>
      </c>
      <c r="AA4" s="427">
        <f>IFERROR((Z4/G4),0)</f>
        <v>0.16377358490566038</v>
      </c>
      <c r="AB4" s="393">
        <v>217</v>
      </c>
      <c r="AC4" s="427">
        <f>IFERROR((AB4/G4),0)</f>
        <v>0.16377358490566038</v>
      </c>
      <c r="AD4" s="393">
        <v>49</v>
      </c>
      <c r="AE4" s="427">
        <f>IFERROR((AD4/G4),0)</f>
        <v>3.6981132075471698E-2</v>
      </c>
      <c r="AF4" s="122">
        <f>+Z4+AB4+AD4</f>
        <v>483</v>
      </c>
      <c r="AG4" s="290">
        <f t="shared" ref="AG4:AG8" si="2">IFERROR((X4/W4),0)</f>
        <v>0.41903530526315791</v>
      </c>
      <c r="AH4" s="411">
        <f>IFERROR((AF4/G4),0)</f>
        <v>0.36452830188679247</v>
      </c>
      <c r="AI4" s="411">
        <f>(AG4+AH4)/2</f>
        <v>0.39178180357497516</v>
      </c>
      <c r="AJ4" s="409" t="s">
        <v>725</v>
      </c>
      <c r="AK4" s="404">
        <v>95000000</v>
      </c>
      <c r="AL4" s="404">
        <v>57914038</v>
      </c>
      <c r="AM4" s="406">
        <f>AK4-AL4</f>
        <v>37085962</v>
      </c>
      <c r="AN4" s="393">
        <v>6</v>
      </c>
      <c r="AO4" s="427">
        <f>IFERROR((AN4/U4),0)</f>
        <v>16.908064302164412</v>
      </c>
      <c r="AP4" s="393">
        <v>168</v>
      </c>
      <c r="AQ4" s="427">
        <f>IFERROR((AP4/U4),0)</f>
        <v>473.42580046060351</v>
      </c>
      <c r="AR4" s="393">
        <v>288</v>
      </c>
      <c r="AS4" s="427">
        <f>IFERROR((AR4/U4),0)</f>
        <v>811.58708650389178</v>
      </c>
      <c r="AT4" s="122">
        <f>+AN4+AP4+AR4</f>
        <v>462</v>
      </c>
      <c r="AU4" s="428">
        <f t="shared" ref="AU4:AU8" si="3">IFERROR((AL4/AK4),0)</f>
        <v>0.60962145263157896</v>
      </c>
      <c r="AV4" s="428">
        <f>IFERROR((AT4/U4),0)</f>
        <v>1301.9209512666598</v>
      </c>
      <c r="AW4" s="428">
        <f>(AU4+AV4)/2</f>
        <v>651.26528635964564</v>
      </c>
      <c r="AX4" s="1" t="s">
        <v>877</v>
      </c>
    </row>
    <row r="5" spans="1:50" s="17" customFormat="1" ht="51" customHeight="1" x14ac:dyDescent="0.25">
      <c r="A5" s="574"/>
      <c r="B5" s="542"/>
      <c r="C5" s="417" t="str">
        <f>[3]SEGUIMIENTO!C103</f>
        <v>SB-PY1.2</v>
      </c>
      <c r="D5" s="259" t="str">
        <f>[3]SEGUIMIENTO!D103</f>
        <v>Prestación servicio odontólogico a estudiantes en las Sedes</v>
      </c>
      <c r="E5" s="417">
        <f>[3]SEGUIMIENTO!E103</f>
        <v>301</v>
      </c>
      <c r="F5" s="425" t="s">
        <v>285</v>
      </c>
      <c r="G5" s="425">
        <v>877</v>
      </c>
      <c r="H5" s="425" t="s">
        <v>286</v>
      </c>
      <c r="I5" s="404">
        <f>[3]SEGUIMIENTO!I103</f>
        <v>70000000</v>
      </c>
      <c r="J5" s="5">
        <v>18573134</v>
      </c>
      <c r="K5" s="406">
        <f t="shared" ref="K5:K30" si="4">I5-J5</f>
        <v>51426866</v>
      </c>
      <c r="L5" s="393">
        <v>85</v>
      </c>
      <c r="M5" s="427">
        <f t="shared" ref="M5:M30" si="5">IFERROR((L5/G5),0)</f>
        <v>9.6921322690992018E-2</v>
      </c>
      <c r="N5" s="393">
        <v>148</v>
      </c>
      <c r="O5" s="427">
        <f t="shared" ref="O5:O30" si="6">IFERROR((N5/G5),0)</f>
        <v>0.16875712656784492</v>
      </c>
      <c r="P5" s="393">
        <v>127</v>
      </c>
      <c r="Q5" s="427">
        <f t="shared" ref="Q5:Q29" si="7">IFERROR((P5/G5),0)</f>
        <v>0.14481185860889395</v>
      </c>
      <c r="R5" s="77">
        <f t="shared" ref="R5:R16" si="8">+L5+N5+P5</f>
        <v>360</v>
      </c>
      <c r="S5" s="411">
        <f t="shared" si="0"/>
        <v>0.26533048571428569</v>
      </c>
      <c r="T5" s="411">
        <f t="shared" si="1"/>
        <v>0.41049030786773089</v>
      </c>
      <c r="U5" s="411">
        <f t="shared" ref="U5:U31" si="9">(S5+T5)/2</f>
        <v>0.33791039679100832</v>
      </c>
      <c r="V5" s="409" t="s">
        <v>513</v>
      </c>
      <c r="W5" s="5">
        <v>70000000</v>
      </c>
      <c r="X5" s="5">
        <v>49541154</v>
      </c>
      <c r="Y5" s="406">
        <f t="shared" ref="Y5:Y8" si="10">W5-X5</f>
        <v>20458846</v>
      </c>
      <c r="Z5" s="393">
        <v>85</v>
      </c>
      <c r="AA5" s="427">
        <f t="shared" ref="AA5:AA30" si="11">IFERROR((Z5/G5),0)</f>
        <v>9.6921322690992018E-2</v>
      </c>
      <c r="AB5" s="393">
        <v>148</v>
      </c>
      <c r="AC5" s="427">
        <f t="shared" ref="AC5:AC30" si="12">IFERROR((AB5/G5),0)</f>
        <v>0.16875712656784492</v>
      </c>
      <c r="AD5" s="393">
        <v>127</v>
      </c>
      <c r="AE5" s="427">
        <f t="shared" ref="AE5:AE30" si="13">IFERROR((AD5/G5),0)</f>
        <v>0.14481185860889395</v>
      </c>
      <c r="AF5" s="77">
        <f t="shared" ref="AF5:AF15" si="14">+Z5+AB5+AD5</f>
        <v>360</v>
      </c>
      <c r="AG5" s="411">
        <f t="shared" si="2"/>
        <v>0.70773077142857144</v>
      </c>
      <c r="AH5" s="411">
        <f t="shared" ref="AH5:AH30" si="15">IFERROR((AF5/G5),0)</f>
        <v>0.41049030786773089</v>
      </c>
      <c r="AI5" s="411">
        <f t="shared" ref="AI5:AI31" si="16">(AG5+AH5)/2</f>
        <v>0.55911053964815116</v>
      </c>
      <c r="AJ5" s="272" t="s">
        <v>726</v>
      </c>
      <c r="AK5" s="5">
        <v>70000000</v>
      </c>
      <c r="AL5" s="404">
        <v>62935845</v>
      </c>
      <c r="AM5" s="406">
        <f t="shared" ref="AM5:AM8" si="17">AK5-AL5</f>
        <v>7064155</v>
      </c>
      <c r="AN5" s="393">
        <v>97</v>
      </c>
      <c r="AO5" s="427">
        <f t="shared" ref="AO5:AO30" si="18">IFERROR((AN5/U5),0)</f>
        <v>287.0583471866147</v>
      </c>
      <c r="AP5" s="393">
        <v>261</v>
      </c>
      <c r="AQ5" s="427">
        <f t="shared" ref="AQ5:AQ30" si="19">IFERROR((AP5/U5),0)</f>
        <v>772.39410944027259</v>
      </c>
      <c r="AR5" s="393">
        <v>229</v>
      </c>
      <c r="AS5" s="427">
        <f t="shared" ref="AS5:AS30" si="20">IFERROR((AR5/U5),0)</f>
        <v>677.69444851272954</v>
      </c>
      <c r="AT5" s="77">
        <f t="shared" ref="AT5:AT15" si="21">+AN5+AP5+AR5</f>
        <v>587</v>
      </c>
      <c r="AU5" s="428">
        <f t="shared" si="3"/>
        <v>0.89908350000000004</v>
      </c>
      <c r="AV5" s="428">
        <f t="shared" ref="AV5:AV9" si="22">IFERROR((AT5/U5),0)</f>
        <v>1737.1469051396168</v>
      </c>
      <c r="AW5" s="428">
        <f t="shared" ref="AW5:AW15" si="23">(AU5+AV5)/2</f>
        <v>869.02299431980839</v>
      </c>
      <c r="AX5" s="1" t="s">
        <v>878</v>
      </c>
    </row>
    <row r="6" spans="1:50" s="17" customFormat="1" ht="44.25" customHeight="1" x14ac:dyDescent="0.25">
      <c r="A6" s="574"/>
      <c r="B6" s="542"/>
      <c r="C6" s="417" t="str">
        <f>[3]SEGUIMIENTO!C104</f>
        <v>SB-PY1.3</v>
      </c>
      <c r="D6" s="259" t="str">
        <f>[3]SEGUIMIENTO!D104</f>
        <v>Prestación servicio Psicológico a estudiantes en las Sedes</v>
      </c>
      <c r="E6" s="417">
        <f>[3]SEGUIMIENTO!E104</f>
        <v>301</v>
      </c>
      <c r="F6" s="425" t="s">
        <v>285</v>
      </c>
      <c r="G6" s="425">
        <v>889</v>
      </c>
      <c r="H6" s="425" t="s">
        <v>286</v>
      </c>
      <c r="I6" s="404">
        <f>[3]SEGUIMIENTO!I104</f>
        <v>45000000</v>
      </c>
      <c r="J6" s="5">
        <v>24380000</v>
      </c>
      <c r="K6" s="406">
        <f t="shared" si="4"/>
        <v>20620000</v>
      </c>
      <c r="L6" s="393">
        <v>0</v>
      </c>
      <c r="M6" s="427">
        <f t="shared" si="5"/>
        <v>0</v>
      </c>
      <c r="N6" s="393">
        <v>100</v>
      </c>
      <c r="O6" s="427">
        <f t="shared" si="6"/>
        <v>0.1124859392575928</v>
      </c>
      <c r="P6" s="393">
        <v>245</v>
      </c>
      <c r="Q6" s="427">
        <f t="shared" si="7"/>
        <v>0.27559055118110237</v>
      </c>
      <c r="R6" s="77">
        <f t="shared" si="8"/>
        <v>345</v>
      </c>
      <c r="S6" s="411">
        <f t="shared" si="0"/>
        <v>0.5417777777777778</v>
      </c>
      <c r="T6" s="411">
        <f t="shared" si="1"/>
        <v>0.38807649043869519</v>
      </c>
      <c r="U6" s="411">
        <f t="shared" si="9"/>
        <v>0.4649271341082365</v>
      </c>
      <c r="V6" s="561" t="s">
        <v>514</v>
      </c>
      <c r="W6" s="5">
        <v>45000000</v>
      </c>
      <c r="X6" s="5">
        <v>30126510</v>
      </c>
      <c r="Y6" s="406">
        <f t="shared" si="10"/>
        <v>14873490</v>
      </c>
      <c r="Z6" s="393">
        <v>164</v>
      </c>
      <c r="AA6" s="427">
        <f t="shared" si="11"/>
        <v>0.18447694038245219</v>
      </c>
      <c r="AB6" s="393">
        <v>254</v>
      </c>
      <c r="AC6" s="427">
        <f t="shared" si="12"/>
        <v>0.2857142857142857</v>
      </c>
      <c r="AD6" s="393">
        <v>88</v>
      </c>
      <c r="AE6" s="427">
        <f t="shared" si="13"/>
        <v>9.8987626546681667E-2</v>
      </c>
      <c r="AF6" s="77">
        <f t="shared" si="14"/>
        <v>506</v>
      </c>
      <c r="AG6" s="411">
        <f t="shared" si="2"/>
        <v>0.66947800000000002</v>
      </c>
      <c r="AH6" s="411">
        <f t="shared" si="15"/>
        <v>0.56917885264341961</v>
      </c>
      <c r="AI6" s="411">
        <f t="shared" si="16"/>
        <v>0.61932842632170981</v>
      </c>
      <c r="AJ6" s="409" t="s">
        <v>724</v>
      </c>
      <c r="AK6" s="5">
        <v>45000000</v>
      </c>
      <c r="AL6" s="404">
        <v>72070749</v>
      </c>
      <c r="AM6" s="406">
        <f t="shared" si="17"/>
        <v>-27070749</v>
      </c>
      <c r="AN6" s="393">
        <v>0</v>
      </c>
      <c r="AO6" s="427">
        <f t="shared" si="18"/>
        <v>0</v>
      </c>
      <c r="AP6" s="393">
        <v>110</v>
      </c>
      <c r="AQ6" s="427">
        <f t="shared" si="19"/>
        <v>236.59621461110862</v>
      </c>
      <c r="AR6" s="393">
        <v>193</v>
      </c>
      <c r="AS6" s="427">
        <f t="shared" si="20"/>
        <v>415.1188129085815</v>
      </c>
      <c r="AT6" s="77">
        <f t="shared" si="21"/>
        <v>303</v>
      </c>
      <c r="AU6" s="428">
        <f t="shared" si="3"/>
        <v>1.6015721999999999</v>
      </c>
      <c r="AV6" s="428">
        <f t="shared" si="22"/>
        <v>651.71502751969012</v>
      </c>
      <c r="AW6" s="428">
        <f t="shared" si="23"/>
        <v>326.65829985984504</v>
      </c>
      <c r="AX6" s="1" t="s">
        <v>879</v>
      </c>
    </row>
    <row r="7" spans="1:50" ht="42.75" customHeight="1" x14ac:dyDescent="0.25">
      <c r="A7" s="574"/>
      <c r="B7" s="542"/>
      <c r="C7" s="417" t="str">
        <f>[3]SEGUIMIENTO!C105</f>
        <v>SB-PY1.4</v>
      </c>
      <c r="D7" s="259" t="str">
        <f>[3]SEGUIMIENTO!D105</f>
        <v>Apoyo a actividades de clima organizacional, docentes, estudiantes y administrativos en las Sedes.</v>
      </c>
      <c r="E7" s="417">
        <f>[3]SEGUIMIENTO!E105</f>
        <v>301</v>
      </c>
      <c r="F7" s="43" t="s">
        <v>293</v>
      </c>
      <c r="G7" s="36"/>
      <c r="H7" s="43"/>
      <c r="I7" s="404">
        <f>[3]SEGUIMIENTO!I105</f>
        <v>2000000</v>
      </c>
      <c r="J7" s="5">
        <v>0</v>
      </c>
      <c r="K7" s="406">
        <f t="shared" si="4"/>
        <v>2000000</v>
      </c>
      <c r="L7" s="47"/>
      <c r="M7" s="427">
        <f t="shared" si="5"/>
        <v>0</v>
      </c>
      <c r="N7" s="47"/>
      <c r="O7" s="427">
        <f t="shared" si="6"/>
        <v>0</v>
      </c>
      <c r="P7" s="47"/>
      <c r="Q7" s="427">
        <f t="shared" si="7"/>
        <v>0</v>
      </c>
      <c r="R7" s="277">
        <f t="shared" si="8"/>
        <v>0</v>
      </c>
      <c r="S7" s="411">
        <f t="shared" si="0"/>
        <v>0</v>
      </c>
      <c r="T7" s="411">
        <f t="shared" si="1"/>
        <v>0</v>
      </c>
      <c r="U7" s="411">
        <f t="shared" si="9"/>
        <v>0</v>
      </c>
      <c r="V7" s="561"/>
      <c r="W7" s="5">
        <v>8991754</v>
      </c>
      <c r="X7" s="5">
        <v>2000000</v>
      </c>
      <c r="Y7" s="406">
        <f t="shared" si="10"/>
        <v>6991754</v>
      </c>
      <c r="Z7" s="123"/>
      <c r="AA7" s="427">
        <f t="shared" si="11"/>
        <v>0</v>
      </c>
      <c r="AB7" s="123"/>
      <c r="AC7" s="427">
        <f t="shared" si="12"/>
        <v>0</v>
      </c>
      <c r="AD7" s="123"/>
      <c r="AE7" s="427">
        <f t="shared" si="13"/>
        <v>0</v>
      </c>
      <c r="AF7" s="124">
        <f t="shared" si="14"/>
        <v>0</v>
      </c>
      <c r="AG7" s="411">
        <f t="shared" si="2"/>
        <v>0.22242601387893843</v>
      </c>
      <c r="AH7" s="411">
        <f t="shared" si="15"/>
        <v>0</v>
      </c>
      <c r="AI7" s="411">
        <f t="shared" si="16"/>
        <v>0.11121300693946921</v>
      </c>
      <c r="AJ7" s="134" t="s">
        <v>723</v>
      </c>
      <c r="AK7" s="5">
        <v>8991754</v>
      </c>
      <c r="AL7" s="404">
        <v>2000000</v>
      </c>
      <c r="AM7" s="406">
        <f t="shared" si="17"/>
        <v>6991754</v>
      </c>
      <c r="AN7" s="123"/>
      <c r="AO7" s="427">
        <f t="shared" si="18"/>
        <v>0</v>
      </c>
      <c r="AP7" s="123"/>
      <c r="AQ7" s="427">
        <f t="shared" si="19"/>
        <v>0</v>
      </c>
      <c r="AR7" s="123"/>
      <c r="AS7" s="427">
        <f t="shared" si="20"/>
        <v>0</v>
      </c>
      <c r="AT7" s="124">
        <f t="shared" si="21"/>
        <v>0</v>
      </c>
      <c r="AU7" s="428">
        <f t="shared" si="3"/>
        <v>0.22242601387893843</v>
      </c>
      <c r="AV7" s="428">
        <f t="shared" si="22"/>
        <v>0</v>
      </c>
      <c r="AW7" s="428">
        <f t="shared" si="23"/>
        <v>0.11121300693946921</v>
      </c>
      <c r="AX7" s="134" t="s">
        <v>723</v>
      </c>
    </row>
    <row r="8" spans="1:50" ht="44.25" customHeight="1" x14ac:dyDescent="0.25">
      <c r="A8" s="574"/>
      <c r="B8" s="542"/>
      <c r="C8" s="568" t="str">
        <f>[3]SEGUIMIENTO!C106</f>
        <v>SB-PY1.5</v>
      </c>
      <c r="D8" s="570" t="str">
        <f>[3]SEGUIMIENTO!D106</f>
        <v>Atención apersonas en drogadicción, prostitución y E.T.V.  en las Sedes.</v>
      </c>
      <c r="E8" s="568">
        <f>[3]SEGUIMIENTO!E106</f>
        <v>301</v>
      </c>
      <c r="F8" s="518" t="s">
        <v>285</v>
      </c>
      <c r="G8" s="425">
        <v>1300</v>
      </c>
      <c r="H8" s="44" t="s">
        <v>880</v>
      </c>
      <c r="I8" s="554">
        <f>[3]SEGUIMIENTO!I106</f>
        <v>35000000</v>
      </c>
      <c r="J8" s="554">
        <v>19972848</v>
      </c>
      <c r="K8" s="556">
        <f t="shared" si="4"/>
        <v>15027152</v>
      </c>
      <c r="L8" s="393"/>
      <c r="M8" s="427">
        <f t="shared" si="5"/>
        <v>0</v>
      </c>
      <c r="N8" s="393">
        <v>174</v>
      </c>
      <c r="O8" s="427">
        <f t="shared" si="6"/>
        <v>0.13384615384615384</v>
      </c>
      <c r="P8" s="393">
        <v>470</v>
      </c>
      <c r="Q8" s="427">
        <f t="shared" si="7"/>
        <v>0.36153846153846153</v>
      </c>
      <c r="R8" s="77">
        <f t="shared" si="8"/>
        <v>644</v>
      </c>
      <c r="S8" s="551">
        <f t="shared" si="0"/>
        <v>0.57065279999999996</v>
      </c>
      <c r="T8" s="551">
        <f t="shared" si="1"/>
        <v>0.49538461538461537</v>
      </c>
      <c r="U8" s="551">
        <f t="shared" si="9"/>
        <v>0.53301870769230764</v>
      </c>
      <c r="V8" s="409" t="s">
        <v>515</v>
      </c>
      <c r="W8" s="554">
        <v>35000000</v>
      </c>
      <c r="X8" s="554">
        <v>19972848</v>
      </c>
      <c r="Y8" s="556">
        <f t="shared" si="10"/>
        <v>15027152</v>
      </c>
      <c r="Z8" s="393">
        <v>345</v>
      </c>
      <c r="AA8" s="427">
        <f t="shared" si="11"/>
        <v>0.26538461538461539</v>
      </c>
      <c r="AB8" s="393">
        <v>269</v>
      </c>
      <c r="AC8" s="427">
        <f t="shared" si="12"/>
        <v>0.20692307692307693</v>
      </c>
      <c r="AD8" s="393">
        <v>634</v>
      </c>
      <c r="AE8" s="427">
        <f t="shared" si="13"/>
        <v>0.4876923076923077</v>
      </c>
      <c r="AF8" s="77">
        <f t="shared" si="14"/>
        <v>1248</v>
      </c>
      <c r="AG8" s="551">
        <f t="shared" si="2"/>
        <v>0.57065279999999996</v>
      </c>
      <c r="AH8" s="411">
        <f t="shared" si="15"/>
        <v>0.96</v>
      </c>
      <c r="AI8" s="411">
        <f t="shared" si="16"/>
        <v>0.76532639999999996</v>
      </c>
      <c r="AJ8" s="272" t="s">
        <v>512</v>
      </c>
      <c r="AK8" s="554">
        <v>35000000</v>
      </c>
      <c r="AL8" s="404">
        <v>30781315</v>
      </c>
      <c r="AM8" s="556">
        <f t="shared" si="17"/>
        <v>4218685</v>
      </c>
      <c r="AN8" s="393">
        <v>0</v>
      </c>
      <c r="AO8" s="427">
        <f t="shared" si="18"/>
        <v>0</v>
      </c>
      <c r="AP8" s="393">
        <v>52</v>
      </c>
      <c r="AQ8" s="427">
        <f t="shared" si="19"/>
        <v>97.557551450929026</v>
      </c>
      <c r="AR8" s="393">
        <v>86</v>
      </c>
      <c r="AS8" s="427">
        <f t="shared" si="20"/>
        <v>161.34518124576724</v>
      </c>
      <c r="AT8" s="77">
        <f t="shared" si="21"/>
        <v>138</v>
      </c>
      <c r="AU8" s="428">
        <f t="shared" si="3"/>
        <v>0.87946614285714286</v>
      </c>
      <c r="AV8" s="428">
        <f t="shared" si="22"/>
        <v>258.90273269669626</v>
      </c>
      <c r="AW8" s="428">
        <f t="shared" si="23"/>
        <v>129.89109941977671</v>
      </c>
      <c r="AX8" s="1" t="s">
        <v>881</v>
      </c>
    </row>
    <row r="9" spans="1:50" ht="31.5" customHeight="1" x14ac:dyDescent="0.25">
      <c r="A9" s="574"/>
      <c r="B9" s="542"/>
      <c r="C9" s="569"/>
      <c r="D9" s="571"/>
      <c r="E9" s="569"/>
      <c r="F9" s="520"/>
      <c r="G9" s="425">
        <v>1000</v>
      </c>
      <c r="H9" s="44" t="s">
        <v>295</v>
      </c>
      <c r="I9" s="555"/>
      <c r="J9" s="555"/>
      <c r="K9" s="557"/>
      <c r="L9" s="393"/>
      <c r="M9" s="427">
        <f t="shared" si="5"/>
        <v>0</v>
      </c>
      <c r="N9" s="393"/>
      <c r="O9" s="427">
        <f t="shared" si="6"/>
        <v>0</v>
      </c>
      <c r="P9" s="393">
        <v>12</v>
      </c>
      <c r="Q9" s="427">
        <f t="shared" si="7"/>
        <v>1.2E-2</v>
      </c>
      <c r="R9" s="77">
        <f t="shared" si="8"/>
        <v>12</v>
      </c>
      <c r="S9" s="552"/>
      <c r="T9" s="552"/>
      <c r="U9" s="552"/>
      <c r="V9" s="116" t="s">
        <v>516</v>
      </c>
      <c r="W9" s="555"/>
      <c r="X9" s="555"/>
      <c r="Y9" s="557"/>
      <c r="Z9" s="393">
        <v>14</v>
      </c>
      <c r="AA9" s="427">
        <f t="shared" si="11"/>
        <v>1.4E-2</v>
      </c>
      <c r="AB9" s="393">
        <v>12</v>
      </c>
      <c r="AC9" s="427">
        <f t="shared" si="12"/>
        <v>1.2E-2</v>
      </c>
      <c r="AD9" s="393">
        <v>8</v>
      </c>
      <c r="AE9" s="427">
        <f t="shared" si="13"/>
        <v>8.0000000000000002E-3</v>
      </c>
      <c r="AF9" s="77">
        <f t="shared" si="14"/>
        <v>34</v>
      </c>
      <c r="AG9" s="552"/>
      <c r="AH9" s="411">
        <f t="shared" si="15"/>
        <v>3.4000000000000002E-2</v>
      </c>
      <c r="AI9" s="411">
        <f t="shared" si="16"/>
        <v>1.7000000000000001E-2</v>
      </c>
      <c r="AJ9" s="409" t="s">
        <v>513</v>
      </c>
      <c r="AK9" s="555"/>
      <c r="AL9" s="404"/>
      <c r="AM9" s="557"/>
      <c r="AN9" s="393">
        <v>0</v>
      </c>
      <c r="AO9" s="427" t="s">
        <v>19</v>
      </c>
      <c r="AP9" s="393">
        <v>15</v>
      </c>
      <c r="AQ9" s="427">
        <f t="shared" si="19"/>
        <v>0</v>
      </c>
      <c r="AR9" s="393">
        <v>18</v>
      </c>
      <c r="AS9" s="427">
        <f t="shared" si="20"/>
        <v>0</v>
      </c>
      <c r="AT9" s="77">
        <f t="shared" si="21"/>
        <v>33</v>
      </c>
      <c r="AU9" s="428"/>
      <c r="AV9" s="428">
        <f t="shared" si="22"/>
        <v>0</v>
      </c>
      <c r="AW9" s="428">
        <f t="shared" si="23"/>
        <v>0</v>
      </c>
      <c r="AX9" s="409" t="s">
        <v>513</v>
      </c>
    </row>
    <row r="10" spans="1:50" ht="55.5" customHeight="1" x14ac:dyDescent="0.25">
      <c r="A10" s="574"/>
      <c r="B10" s="542"/>
      <c r="C10" s="568" t="str">
        <f>[3]SEGUIMIENTO!C107</f>
        <v>SB-PY1.6</v>
      </c>
      <c r="D10" s="578" t="str">
        <f>[3]SEGUIMIENTO!D107</f>
        <v>USCO saludable.</v>
      </c>
      <c r="E10" s="568">
        <f>[3]SEGUIMIENTO!E107</f>
        <v>301</v>
      </c>
      <c r="F10" s="518" t="s">
        <v>186</v>
      </c>
      <c r="G10" s="425">
        <v>450</v>
      </c>
      <c r="H10" s="425" t="s">
        <v>882</v>
      </c>
      <c r="I10" s="554">
        <f>[3]SEGUIMIENTO!I107</f>
        <v>140000000</v>
      </c>
      <c r="J10" s="554">
        <v>55078525</v>
      </c>
      <c r="K10" s="556">
        <f t="shared" si="4"/>
        <v>84921475</v>
      </c>
      <c r="L10" s="45"/>
      <c r="M10" s="427">
        <f t="shared" si="5"/>
        <v>0</v>
      </c>
      <c r="N10" s="45">
        <v>101</v>
      </c>
      <c r="O10" s="427">
        <f t="shared" si="6"/>
        <v>0.22444444444444445</v>
      </c>
      <c r="P10" s="45">
        <v>136</v>
      </c>
      <c r="Q10" s="427">
        <f t="shared" si="7"/>
        <v>0.30222222222222223</v>
      </c>
      <c r="R10" s="77">
        <f t="shared" si="8"/>
        <v>237</v>
      </c>
      <c r="S10" s="551">
        <f t="shared" si="0"/>
        <v>0.39341803571428574</v>
      </c>
      <c r="T10" s="411">
        <f t="shared" si="1"/>
        <v>0.52666666666666662</v>
      </c>
      <c r="U10" s="411">
        <f t="shared" si="9"/>
        <v>0.46004235119047621</v>
      </c>
      <c r="V10" s="48" t="s">
        <v>517</v>
      </c>
      <c r="W10" s="554">
        <v>140000000</v>
      </c>
      <c r="X10" s="554">
        <v>129922145</v>
      </c>
      <c r="Y10" s="556">
        <f t="shared" ref="Y10" si="24">W10-X10</f>
        <v>10077855</v>
      </c>
      <c r="Z10" s="45">
        <v>110</v>
      </c>
      <c r="AA10" s="427">
        <f t="shared" si="11"/>
        <v>0.24444444444444444</v>
      </c>
      <c r="AB10" s="45">
        <v>118</v>
      </c>
      <c r="AC10" s="427">
        <f t="shared" si="12"/>
        <v>0.26222222222222225</v>
      </c>
      <c r="AD10" s="45">
        <v>0</v>
      </c>
      <c r="AE10" s="427">
        <f t="shared" si="13"/>
        <v>0</v>
      </c>
      <c r="AF10" s="77">
        <f t="shared" si="14"/>
        <v>228</v>
      </c>
      <c r="AG10" s="551">
        <f t="shared" ref="AG10" si="25">IFERROR((X10/W10),0)</f>
        <v>0.92801532142857146</v>
      </c>
      <c r="AH10" s="411">
        <f>IFERROR((AF10/G10),0)</f>
        <v>0.50666666666666671</v>
      </c>
      <c r="AI10" s="411">
        <f t="shared" si="16"/>
        <v>0.71734099404761908</v>
      </c>
      <c r="AJ10" s="561" t="s">
        <v>514</v>
      </c>
      <c r="AK10" s="554">
        <v>140000000</v>
      </c>
      <c r="AL10" s="404">
        <v>177951220</v>
      </c>
      <c r="AM10" s="556">
        <f t="shared" ref="AM10" si="26">AK10-AL10</f>
        <v>-37951220</v>
      </c>
      <c r="AN10" s="45">
        <v>0</v>
      </c>
      <c r="AO10" s="427">
        <f t="shared" si="18"/>
        <v>0</v>
      </c>
      <c r="AP10" s="45">
        <v>124</v>
      </c>
      <c r="AQ10" s="427">
        <f t="shared" si="19"/>
        <v>269.54040139808558</v>
      </c>
      <c r="AR10" s="45">
        <v>140</v>
      </c>
      <c r="AS10" s="427">
        <f t="shared" si="20"/>
        <v>304.31980803009662</v>
      </c>
      <c r="AT10" s="77">
        <f t="shared" si="21"/>
        <v>264</v>
      </c>
      <c r="AU10" s="428">
        <f t="shared" ref="AU10" si="27">IFERROR((AL10/AK10),0)</f>
        <v>1.2710801428571428</v>
      </c>
      <c r="AV10" s="428">
        <f>IFERROR((AT10/U10),0)</f>
        <v>573.8602094281822</v>
      </c>
      <c r="AW10" s="428">
        <f t="shared" si="23"/>
        <v>287.56564478551968</v>
      </c>
      <c r="AX10" s="587" t="s">
        <v>883</v>
      </c>
    </row>
    <row r="11" spans="1:50" ht="48.75" customHeight="1" x14ac:dyDescent="0.25">
      <c r="A11" s="574"/>
      <c r="B11" s="542"/>
      <c r="C11" s="569"/>
      <c r="D11" s="579"/>
      <c r="E11" s="569"/>
      <c r="F11" s="520"/>
      <c r="G11" s="425">
        <v>9270</v>
      </c>
      <c r="H11" s="425" t="s">
        <v>298</v>
      </c>
      <c r="I11" s="555"/>
      <c r="J11" s="555"/>
      <c r="K11" s="557"/>
      <c r="L11" s="46"/>
      <c r="M11" s="427">
        <f t="shared" si="5"/>
        <v>0</v>
      </c>
      <c r="N11" s="46">
        <v>1521</v>
      </c>
      <c r="O11" s="427">
        <f t="shared" si="6"/>
        <v>0.16407766990291262</v>
      </c>
      <c r="P11" s="46">
        <v>1616</v>
      </c>
      <c r="Q11" s="427">
        <f t="shared" si="7"/>
        <v>0.17432578209277239</v>
      </c>
      <c r="R11" s="125">
        <f t="shared" si="8"/>
        <v>3137</v>
      </c>
      <c r="S11" s="552"/>
      <c r="T11" s="411">
        <f t="shared" si="1"/>
        <v>0.338403451995685</v>
      </c>
      <c r="U11" s="411">
        <f t="shared" si="9"/>
        <v>0.1692017259978425</v>
      </c>
      <c r="V11" s="116" t="s">
        <v>518</v>
      </c>
      <c r="W11" s="555"/>
      <c r="X11" s="555"/>
      <c r="Y11" s="557"/>
      <c r="Z11" s="46">
        <v>1727</v>
      </c>
      <c r="AA11" s="427">
        <f t="shared" si="11"/>
        <v>0.18629989212513484</v>
      </c>
      <c r="AB11" s="46">
        <v>2070</v>
      </c>
      <c r="AC11" s="427">
        <f t="shared" si="12"/>
        <v>0.22330097087378642</v>
      </c>
      <c r="AD11" s="46">
        <v>0</v>
      </c>
      <c r="AE11" s="427">
        <f t="shared" si="13"/>
        <v>0</v>
      </c>
      <c r="AF11" s="125">
        <f t="shared" si="14"/>
        <v>3797</v>
      </c>
      <c r="AG11" s="552"/>
      <c r="AH11" s="411">
        <f t="shared" si="15"/>
        <v>0.40960086299892123</v>
      </c>
      <c r="AI11" s="411">
        <f t="shared" si="16"/>
        <v>0.20480043149946062</v>
      </c>
      <c r="AJ11" s="561"/>
      <c r="AK11" s="555"/>
      <c r="AL11" s="404"/>
      <c r="AM11" s="557"/>
      <c r="AN11" s="46">
        <v>0</v>
      </c>
      <c r="AO11" s="427">
        <f t="shared" si="18"/>
        <v>0</v>
      </c>
      <c r="AP11" s="46">
        <v>1212</v>
      </c>
      <c r="AQ11" s="427">
        <f t="shared" si="19"/>
        <v>7163.0474976091809</v>
      </c>
      <c r="AR11" s="46">
        <v>1740</v>
      </c>
      <c r="AS11" s="427">
        <f t="shared" si="20"/>
        <v>10283.58304112209</v>
      </c>
      <c r="AT11" s="125">
        <f t="shared" si="21"/>
        <v>2952</v>
      </c>
      <c r="AU11" s="428"/>
      <c r="AV11" s="428">
        <f t="shared" ref="AV11:AV15" si="28">IFERROR((AT11/U11),0)</f>
        <v>17446.630538731271</v>
      </c>
      <c r="AW11" s="428">
        <f t="shared" si="23"/>
        <v>8723.3152693656357</v>
      </c>
      <c r="AX11" s="588"/>
    </row>
    <row r="12" spans="1:50" ht="30.75" customHeight="1" x14ac:dyDescent="0.25">
      <c r="A12" s="574"/>
      <c r="B12" s="542"/>
      <c r="C12" s="568" t="str">
        <f>[3]SEGUIMIENTO!C108</f>
        <v>SB-PY1.7</v>
      </c>
      <c r="D12" s="570" t="str">
        <f>[3]SEGUIMIENTO!D108</f>
        <v>Proyecto de Inclusión y atención de la población con diversidad funcional en la USCO.</v>
      </c>
      <c r="E12" s="568">
        <f>[3]SEGUIMIENTO!E108</f>
        <v>301</v>
      </c>
      <c r="F12" s="518" t="s">
        <v>285</v>
      </c>
      <c r="G12" s="408">
        <v>50</v>
      </c>
      <c r="H12" s="44" t="s">
        <v>301</v>
      </c>
      <c r="I12" s="554">
        <f>[3]SEGUIMIENTO!I108</f>
        <v>29955000</v>
      </c>
      <c r="J12" s="554">
        <v>21034396</v>
      </c>
      <c r="K12" s="556">
        <f t="shared" si="4"/>
        <v>8920604</v>
      </c>
      <c r="L12" s="45"/>
      <c r="M12" s="427">
        <f t="shared" si="5"/>
        <v>0</v>
      </c>
      <c r="N12" s="45">
        <v>20</v>
      </c>
      <c r="O12" s="427">
        <f t="shared" si="6"/>
        <v>0.4</v>
      </c>
      <c r="P12" s="45">
        <v>11</v>
      </c>
      <c r="Q12" s="427">
        <f t="shared" si="7"/>
        <v>0.22</v>
      </c>
      <c r="R12" s="77">
        <f t="shared" si="8"/>
        <v>31</v>
      </c>
      <c r="S12" s="551">
        <f t="shared" si="0"/>
        <v>0.70219983308295775</v>
      </c>
      <c r="T12" s="411">
        <f t="shared" si="1"/>
        <v>0.62</v>
      </c>
      <c r="U12" s="411">
        <f t="shared" si="9"/>
        <v>0.66109991654147882</v>
      </c>
      <c r="V12" s="409" t="s">
        <v>515</v>
      </c>
      <c r="W12" s="554">
        <v>29955000</v>
      </c>
      <c r="X12" s="554">
        <v>21034396</v>
      </c>
      <c r="Y12" s="556">
        <f t="shared" ref="Y12" si="29">W12-X12</f>
        <v>8920604</v>
      </c>
      <c r="Z12" s="45">
        <v>5</v>
      </c>
      <c r="AA12" s="427">
        <f t="shared" si="11"/>
        <v>0.1</v>
      </c>
      <c r="AB12" s="45">
        <v>0</v>
      </c>
      <c r="AC12" s="427">
        <f t="shared" si="12"/>
        <v>0</v>
      </c>
      <c r="AD12" s="45">
        <v>0</v>
      </c>
      <c r="AE12" s="427">
        <f t="shared" si="13"/>
        <v>0</v>
      </c>
      <c r="AF12" s="125">
        <f t="shared" si="14"/>
        <v>5</v>
      </c>
      <c r="AG12" s="551">
        <f t="shared" ref="AG12" si="30">IFERROR((X12/W12),0)</f>
        <v>0.70219983308295775</v>
      </c>
      <c r="AH12" s="411">
        <f t="shared" si="15"/>
        <v>0.1</v>
      </c>
      <c r="AI12" s="411">
        <f t="shared" si="16"/>
        <v>0.40109991654147886</v>
      </c>
      <c r="AJ12" s="409" t="s">
        <v>515</v>
      </c>
      <c r="AK12" s="554">
        <v>29955000</v>
      </c>
      <c r="AL12" s="404">
        <v>29452544</v>
      </c>
      <c r="AM12" s="556">
        <f t="shared" ref="AM12" si="31">AK12-AL12</f>
        <v>502456</v>
      </c>
      <c r="AN12" s="45">
        <v>0</v>
      </c>
      <c r="AO12" s="427">
        <f t="shared" si="18"/>
        <v>0</v>
      </c>
      <c r="AP12" s="45">
        <v>5</v>
      </c>
      <c r="AQ12" s="427">
        <f t="shared" si="19"/>
        <v>7.5631532766746146</v>
      </c>
      <c r="AR12" s="45"/>
      <c r="AS12" s="427">
        <f t="shared" si="20"/>
        <v>0</v>
      </c>
      <c r="AT12" s="125">
        <f t="shared" si="21"/>
        <v>5</v>
      </c>
      <c r="AU12" s="428">
        <f t="shared" ref="AU12" si="32">IFERROR((AL12/AK12),0)</f>
        <v>0.98322630612585549</v>
      </c>
      <c r="AV12" s="428">
        <f t="shared" si="28"/>
        <v>7.5631532766746146</v>
      </c>
      <c r="AW12" s="428">
        <f t="shared" si="23"/>
        <v>4.2731897914002346</v>
      </c>
      <c r="AX12" s="134" t="s">
        <v>884</v>
      </c>
    </row>
    <row r="13" spans="1:50" ht="38.25" customHeight="1" x14ac:dyDescent="0.25">
      <c r="A13" s="574"/>
      <c r="B13" s="542"/>
      <c r="C13" s="576"/>
      <c r="D13" s="577"/>
      <c r="E13" s="576"/>
      <c r="F13" s="519"/>
      <c r="G13" s="45">
        <v>50</v>
      </c>
      <c r="H13" s="44" t="s">
        <v>302</v>
      </c>
      <c r="I13" s="562"/>
      <c r="J13" s="562"/>
      <c r="K13" s="563"/>
      <c r="L13" s="45"/>
      <c r="M13" s="427">
        <f t="shared" si="5"/>
        <v>0</v>
      </c>
      <c r="N13" s="45">
        <v>12</v>
      </c>
      <c r="O13" s="427">
        <f t="shared" si="6"/>
        <v>0.24</v>
      </c>
      <c r="P13" s="45">
        <v>3</v>
      </c>
      <c r="Q13" s="427">
        <f t="shared" si="7"/>
        <v>0.06</v>
      </c>
      <c r="R13" s="77">
        <f t="shared" si="8"/>
        <v>15</v>
      </c>
      <c r="S13" s="553"/>
      <c r="T13" s="411">
        <f t="shared" si="1"/>
        <v>0.3</v>
      </c>
      <c r="U13" s="411">
        <f t="shared" si="9"/>
        <v>0.15</v>
      </c>
      <c r="V13" s="116" t="s">
        <v>516</v>
      </c>
      <c r="W13" s="562"/>
      <c r="X13" s="562"/>
      <c r="Y13" s="563"/>
      <c r="Z13" s="45">
        <v>0</v>
      </c>
      <c r="AA13" s="427">
        <f t="shared" si="11"/>
        <v>0</v>
      </c>
      <c r="AB13" s="45">
        <v>0</v>
      </c>
      <c r="AC13" s="427">
        <f t="shared" si="12"/>
        <v>0</v>
      </c>
      <c r="AD13" s="45">
        <v>0</v>
      </c>
      <c r="AE13" s="427">
        <f t="shared" si="13"/>
        <v>0</v>
      </c>
      <c r="AF13" s="125">
        <f t="shared" si="14"/>
        <v>0</v>
      </c>
      <c r="AG13" s="553"/>
      <c r="AH13" s="411">
        <f t="shared" si="15"/>
        <v>0</v>
      </c>
      <c r="AI13" s="411">
        <f t="shared" si="16"/>
        <v>0</v>
      </c>
      <c r="AJ13" s="116" t="s">
        <v>516</v>
      </c>
      <c r="AK13" s="562"/>
      <c r="AL13" s="404"/>
      <c r="AM13" s="563"/>
      <c r="AN13" s="45">
        <v>0</v>
      </c>
      <c r="AO13" s="427">
        <f t="shared" si="18"/>
        <v>0</v>
      </c>
      <c r="AP13" s="45">
        <v>0</v>
      </c>
      <c r="AQ13" s="427">
        <f t="shared" si="19"/>
        <v>0</v>
      </c>
      <c r="AR13" s="45">
        <v>0</v>
      </c>
      <c r="AS13" s="427">
        <f t="shared" si="20"/>
        <v>0</v>
      </c>
      <c r="AT13" s="125">
        <f t="shared" si="21"/>
        <v>0</v>
      </c>
      <c r="AU13" s="428"/>
      <c r="AV13" s="428">
        <f t="shared" si="28"/>
        <v>0</v>
      </c>
      <c r="AW13" s="428">
        <f t="shared" si="23"/>
        <v>0</v>
      </c>
      <c r="AX13" s="134"/>
    </row>
    <row r="14" spans="1:50" ht="41.25" customHeight="1" x14ac:dyDescent="0.25">
      <c r="A14" s="574"/>
      <c r="B14" s="542"/>
      <c r="C14" s="576"/>
      <c r="D14" s="577"/>
      <c r="E14" s="576"/>
      <c r="F14" s="519"/>
      <c r="G14" s="45">
        <v>50</v>
      </c>
      <c r="H14" s="44" t="s">
        <v>303</v>
      </c>
      <c r="I14" s="562"/>
      <c r="J14" s="562"/>
      <c r="K14" s="563"/>
      <c r="L14" s="45"/>
      <c r="M14" s="427">
        <f t="shared" si="5"/>
        <v>0</v>
      </c>
      <c r="N14" s="45">
        <v>3</v>
      </c>
      <c r="O14" s="427">
        <f t="shared" si="6"/>
        <v>0.06</v>
      </c>
      <c r="P14" s="45">
        <v>5</v>
      </c>
      <c r="Q14" s="427">
        <f t="shared" si="7"/>
        <v>0.1</v>
      </c>
      <c r="R14" s="77">
        <f t="shared" si="8"/>
        <v>8</v>
      </c>
      <c r="S14" s="553"/>
      <c r="T14" s="411">
        <f t="shared" si="1"/>
        <v>0.16</v>
      </c>
      <c r="U14" s="411">
        <f t="shared" si="9"/>
        <v>0.08</v>
      </c>
      <c r="V14" s="48" t="s">
        <v>517</v>
      </c>
      <c r="W14" s="562"/>
      <c r="X14" s="562"/>
      <c r="Y14" s="563"/>
      <c r="Z14" s="45">
        <v>9</v>
      </c>
      <c r="AA14" s="427">
        <f t="shared" si="11"/>
        <v>0.18</v>
      </c>
      <c r="AB14" s="45">
        <v>10</v>
      </c>
      <c r="AC14" s="427">
        <f t="shared" si="12"/>
        <v>0.2</v>
      </c>
      <c r="AD14" s="45">
        <v>0</v>
      </c>
      <c r="AE14" s="427">
        <f t="shared" si="13"/>
        <v>0</v>
      </c>
      <c r="AF14" s="125">
        <f t="shared" si="14"/>
        <v>19</v>
      </c>
      <c r="AG14" s="553"/>
      <c r="AH14" s="411">
        <f t="shared" si="15"/>
        <v>0.38</v>
      </c>
      <c r="AI14" s="411">
        <f t="shared" si="16"/>
        <v>0.19</v>
      </c>
      <c r="AJ14" s="48" t="s">
        <v>517</v>
      </c>
      <c r="AK14" s="562"/>
      <c r="AL14" s="404"/>
      <c r="AM14" s="563"/>
      <c r="AN14" s="45">
        <v>0</v>
      </c>
      <c r="AO14" s="427">
        <f t="shared" si="18"/>
        <v>0</v>
      </c>
      <c r="AP14" s="45">
        <v>10</v>
      </c>
      <c r="AQ14" s="427">
        <f t="shared" si="19"/>
        <v>125</v>
      </c>
      <c r="AR14" s="45">
        <v>10</v>
      </c>
      <c r="AS14" s="427">
        <f t="shared" si="20"/>
        <v>125</v>
      </c>
      <c r="AT14" s="125">
        <f t="shared" si="21"/>
        <v>20</v>
      </c>
      <c r="AU14" s="428"/>
      <c r="AV14" s="428">
        <f t="shared" si="28"/>
        <v>250</v>
      </c>
      <c r="AW14" s="428">
        <f t="shared" si="23"/>
        <v>125</v>
      </c>
      <c r="AX14" s="134" t="s">
        <v>517</v>
      </c>
    </row>
    <row r="15" spans="1:50" ht="57" customHeight="1" x14ac:dyDescent="0.25">
      <c r="A15" s="574"/>
      <c r="B15" s="542"/>
      <c r="C15" s="569"/>
      <c r="D15" s="571"/>
      <c r="E15" s="569"/>
      <c r="F15" s="520"/>
      <c r="G15" s="49">
        <v>12</v>
      </c>
      <c r="H15" s="50" t="s">
        <v>304</v>
      </c>
      <c r="I15" s="555"/>
      <c r="J15" s="555"/>
      <c r="K15" s="557"/>
      <c r="L15" s="45"/>
      <c r="M15" s="427">
        <f t="shared" si="5"/>
        <v>0</v>
      </c>
      <c r="N15" s="45">
        <v>4</v>
      </c>
      <c r="O15" s="427">
        <f t="shared" si="6"/>
        <v>0.33333333333333331</v>
      </c>
      <c r="P15" s="45">
        <v>2</v>
      </c>
      <c r="Q15" s="427">
        <f t="shared" si="7"/>
        <v>0.16666666666666666</v>
      </c>
      <c r="R15" s="47">
        <f t="shared" si="8"/>
        <v>6</v>
      </c>
      <c r="S15" s="552"/>
      <c r="T15" s="411">
        <f t="shared" si="1"/>
        <v>0.5</v>
      </c>
      <c r="U15" s="411">
        <f t="shared" si="9"/>
        <v>0.25</v>
      </c>
      <c r="V15" s="116" t="s">
        <v>518</v>
      </c>
      <c r="W15" s="555"/>
      <c r="X15" s="555"/>
      <c r="Y15" s="557"/>
      <c r="Z15" s="45">
        <v>2</v>
      </c>
      <c r="AA15" s="427">
        <f t="shared" si="11"/>
        <v>0.16666666666666666</v>
      </c>
      <c r="AB15" s="45">
        <v>3</v>
      </c>
      <c r="AC15" s="427">
        <f t="shared" si="12"/>
        <v>0.25</v>
      </c>
      <c r="AD15" s="45">
        <v>0</v>
      </c>
      <c r="AE15" s="427">
        <f t="shared" si="13"/>
        <v>0</v>
      </c>
      <c r="AF15" s="47">
        <f t="shared" si="14"/>
        <v>5</v>
      </c>
      <c r="AG15" s="552"/>
      <c r="AH15" s="411">
        <f t="shared" si="15"/>
        <v>0.41666666666666669</v>
      </c>
      <c r="AI15" s="411">
        <f t="shared" si="16"/>
        <v>0.20833333333333334</v>
      </c>
      <c r="AJ15" s="116" t="s">
        <v>518</v>
      </c>
      <c r="AK15" s="555"/>
      <c r="AL15" s="404"/>
      <c r="AM15" s="557"/>
      <c r="AN15" s="45">
        <v>0</v>
      </c>
      <c r="AO15" s="427">
        <f t="shared" si="18"/>
        <v>0</v>
      </c>
      <c r="AP15" s="45">
        <v>0</v>
      </c>
      <c r="AQ15" s="427">
        <f t="shared" si="19"/>
        <v>0</v>
      </c>
      <c r="AR15" s="45">
        <v>5</v>
      </c>
      <c r="AS15" s="427">
        <f t="shared" si="20"/>
        <v>20</v>
      </c>
      <c r="AT15" s="47">
        <f t="shared" si="21"/>
        <v>5</v>
      </c>
      <c r="AU15" s="428"/>
      <c r="AV15" s="428">
        <f t="shared" si="28"/>
        <v>20</v>
      </c>
      <c r="AW15" s="428">
        <f t="shared" si="23"/>
        <v>10</v>
      </c>
      <c r="AX15" s="134" t="s">
        <v>518</v>
      </c>
    </row>
    <row r="16" spans="1:50" ht="57" customHeight="1" x14ac:dyDescent="0.25">
      <c r="A16" s="574"/>
      <c r="B16" s="543"/>
      <c r="C16" s="415" t="str">
        <f>[3]SEGUIMIENTO!C109</f>
        <v>SB-PY1.8</v>
      </c>
      <c r="D16" s="259" t="str">
        <f>[3]SEGUIMIENTO!D109</f>
        <v>Proyecto de Inclusión y atención de la población con diversidad funcional en la USCO.</v>
      </c>
      <c r="E16" s="415">
        <f>[3]SEGUIMIENTO!E109</f>
        <v>301</v>
      </c>
      <c r="F16" s="398"/>
      <c r="G16" s="45"/>
      <c r="H16" s="44"/>
      <c r="I16" s="403">
        <f>[3]SEGUIMIENTO!I109</f>
        <v>0</v>
      </c>
      <c r="J16" s="403"/>
      <c r="K16" s="405"/>
      <c r="L16" s="45"/>
      <c r="M16" s="427"/>
      <c r="N16" s="45"/>
      <c r="O16" s="427"/>
      <c r="P16" s="45"/>
      <c r="Q16" s="427"/>
      <c r="R16" s="47">
        <f t="shared" si="8"/>
        <v>0</v>
      </c>
      <c r="S16" s="411"/>
      <c r="T16" s="411"/>
      <c r="U16" s="411"/>
      <c r="V16" s="273"/>
      <c r="W16" s="403">
        <v>0</v>
      </c>
      <c r="X16" s="403"/>
      <c r="Y16" s="405">
        <f>W16-X16</f>
        <v>0</v>
      </c>
      <c r="Z16" s="45">
        <v>0</v>
      </c>
      <c r="AA16" s="427">
        <f t="shared" si="11"/>
        <v>0</v>
      </c>
      <c r="AB16" s="45"/>
      <c r="AC16" s="427">
        <f t="shared" si="12"/>
        <v>0</v>
      </c>
      <c r="AD16" s="45"/>
      <c r="AE16" s="427">
        <f t="shared" si="13"/>
        <v>0</v>
      </c>
      <c r="AF16" s="126"/>
      <c r="AG16" s="412"/>
      <c r="AH16" s="411">
        <f>IFERROR((AF16/G16),0)</f>
        <v>0</v>
      </c>
      <c r="AI16" s="411"/>
      <c r="AJ16" s="273"/>
      <c r="AK16" s="403">
        <v>0</v>
      </c>
      <c r="AL16" s="404"/>
      <c r="AM16" s="405">
        <f>AK16-AL16</f>
        <v>0</v>
      </c>
      <c r="AN16" s="45"/>
      <c r="AO16" s="427">
        <f t="shared" si="18"/>
        <v>0</v>
      </c>
      <c r="AP16" s="45"/>
      <c r="AQ16" s="427">
        <f t="shared" si="19"/>
        <v>0</v>
      </c>
      <c r="AR16" s="45"/>
      <c r="AS16" s="427">
        <f t="shared" si="20"/>
        <v>0</v>
      </c>
      <c r="AT16" s="126"/>
      <c r="AU16" s="428"/>
      <c r="AV16" s="428">
        <f>IFERROR((AT16/U16),0)</f>
        <v>0</v>
      </c>
      <c r="AW16" s="428"/>
      <c r="AX16" s="273"/>
    </row>
    <row r="17" spans="1:50" ht="38.25" customHeight="1" x14ac:dyDescent="0.25">
      <c r="A17" s="574"/>
      <c r="B17" s="566" t="s">
        <v>305</v>
      </c>
      <c r="C17" s="568" t="str">
        <f>[3]SEGUIMIENTO!C110</f>
        <v>SB-PY2.1</v>
      </c>
      <c r="D17" s="570" t="str">
        <f>[3]SEGUIMIENTO!D110</f>
        <v>Actividades deportivas de todas las Sedes.</v>
      </c>
      <c r="E17" s="568">
        <f>[3]SEGUIMIENTO!E110</f>
        <v>301</v>
      </c>
      <c r="F17" s="425" t="s">
        <v>285</v>
      </c>
      <c r="G17" s="425">
        <v>9920</v>
      </c>
      <c r="H17" s="425" t="s">
        <v>298</v>
      </c>
      <c r="I17" s="554">
        <f>[3]SEGUIMIENTO!I110</f>
        <v>415000000</v>
      </c>
      <c r="J17" s="554">
        <v>150998077</v>
      </c>
      <c r="K17" s="556">
        <f t="shared" si="4"/>
        <v>264001923</v>
      </c>
      <c r="L17" s="45">
        <v>0</v>
      </c>
      <c r="M17" s="427">
        <f t="shared" si="5"/>
        <v>0</v>
      </c>
      <c r="N17" s="45">
        <v>0</v>
      </c>
      <c r="O17" s="427">
        <f t="shared" si="6"/>
        <v>0</v>
      </c>
      <c r="P17" s="46">
        <v>0</v>
      </c>
      <c r="Q17" s="427">
        <f t="shared" si="7"/>
        <v>0</v>
      </c>
      <c r="R17" s="47">
        <f>+L17+N17+P17</f>
        <v>0</v>
      </c>
      <c r="S17" s="551">
        <f t="shared" ref="S17" si="33">IFERROR((J17/I17),0)</f>
        <v>0.36385078795180725</v>
      </c>
      <c r="T17" s="411">
        <f t="shared" ref="T17:T31" si="34">M17+O17+Q17</f>
        <v>0</v>
      </c>
      <c r="U17" s="411">
        <f t="shared" si="9"/>
        <v>0.18192539397590363</v>
      </c>
      <c r="V17" s="426" t="s">
        <v>519</v>
      </c>
      <c r="W17" s="554">
        <v>497028160</v>
      </c>
      <c r="X17" s="554">
        <v>209845541</v>
      </c>
      <c r="Y17" s="556">
        <f t="shared" ref="Y17" si="35">W17-X17</f>
        <v>287182619</v>
      </c>
      <c r="Z17" s="45">
        <v>0</v>
      </c>
      <c r="AA17" s="427">
        <f t="shared" si="11"/>
        <v>0</v>
      </c>
      <c r="AB17" s="45">
        <v>0</v>
      </c>
      <c r="AC17" s="427">
        <f t="shared" si="12"/>
        <v>0</v>
      </c>
      <c r="AD17" s="46">
        <v>8226</v>
      </c>
      <c r="AE17" s="427">
        <f t="shared" si="13"/>
        <v>0.82923387096774193</v>
      </c>
      <c r="AF17" s="47">
        <f>+Z17+AB17+AD17</f>
        <v>8226</v>
      </c>
      <c r="AG17" s="551">
        <f t="shared" ref="AG17" si="36">IFERROR((X17/W17),0)</f>
        <v>0.42220050670770848</v>
      </c>
      <c r="AH17" s="411">
        <f t="shared" si="15"/>
        <v>0.82923387096774193</v>
      </c>
      <c r="AI17" s="411">
        <f t="shared" si="16"/>
        <v>0.6257171888377252</v>
      </c>
      <c r="AJ17" s="426" t="s">
        <v>519</v>
      </c>
      <c r="AK17" s="554">
        <v>497028160</v>
      </c>
      <c r="AL17" s="404">
        <v>434042517</v>
      </c>
      <c r="AM17" s="556">
        <f t="shared" ref="AM17" si="37">AK17-AL17</f>
        <v>62985643</v>
      </c>
      <c r="AN17" s="45">
        <v>0</v>
      </c>
      <c r="AO17" s="427">
        <v>0</v>
      </c>
      <c r="AP17" s="45">
        <v>0</v>
      </c>
      <c r="AQ17" s="427">
        <f t="shared" si="19"/>
        <v>0</v>
      </c>
      <c r="AR17" s="46">
        <v>0</v>
      </c>
      <c r="AS17" s="427">
        <f t="shared" si="20"/>
        <v>0</v>
      </c>
      <c r="AT17" s="47">
        <f>+AN17+AP17+AR17</f>
        <v>0</v>
      </c>
      <c r="AU17" s="428">
        <f t="shared" ref="AU17" si="38">IFERROR((AL17/AK17),0)</f>
        <v>0.87327550414849731</v>
      </c>
      <c r="AV17" s="428">
        <f t="shared" ref="AV17:AV21" si="39">IFERROR((AT17/U17),0)</f>
        <v>0</v>
      </c>
      <c r="AW17" s="428">
        <f t="shared" ref="AW17:AW30" si="40">(AU17+AV17)/2</f>
        <v>0.43663775207424865</v>
      </c>
      <c r="AX17" s="395" t="s">
        <v>885</v>
      </c>
    </row>
    <row r="18" spans="1:50" ht="38.25" customHeight="1" x14ac:dyDescent="0.25">
      <c r="A18" s="574"/>
      <c r="B18" s="567"/>
      <c r="C18" s="569"/>
      <c r="D18" s="571"/>
      <c r="E18" s="569"/>
      <c r="F18" s="425" t="s">
        <v>285</v>
      </c>
      <c r="G18" s="425">
        <v>217</v>
      </c>
      <c r="H18" s="425" t="s">
        <v>308</v>
      </c>
      <c r="I18" s="555"/>
      <c r="J18" s="555"/>
      <c r="K18" s="557"/>
      <c r="L18" s="393">
        <v>3</v>
      </c>
      <c r="M18" s="427">
        <f t="shared" si="5"/>
        <v>1.3824884792626729E-2</v>
      </c>
      <c r="N18" s="393">
        <v>40</v>
      </c>
      <c r="O18" s="427">
        <f t="shared" si="6"/>
        <v>0.18433179723502305</v>
      </c>
      <c r="P18" s="393">
        <v>57</v>
      </c>
      <c r="Q18" s="427">
        <f t="shared" si="7"/>
        <v>0.26267281105990781</v>
      </c>
      <c r="R18" s="47">
        <f>+L18+N18+P18</f>
        <v>100</v>
      </c>
      <c r="S18" s="552"/>
      <c r="T18" s="411">
        <f t="shared" si="34"/>
        <v>0.46082949308755761</v>
      </c>
      <c r="U18" s="411">
        <f t="shared" si="9"/>
        <v>0.2304147465437788</v>
      </c>
      <c r="V18" s="409" t="s">
        <v>520</v>
      </c>
      <c r="W18" s="555"/>
      <c r="X18" s="555"/>
      <c r="Y18" s="557"/>
      <c r="Z18" s="393">
        <v>4</v>
      </c>
      <c r="AA18" s="427">
        <f t="shared" si="11"/>
        <v>1.8433179723502304E-2</v>
      </c>
      <c r="AB18" s="393">
        <v>17</v>
      </c>
      <c r="AC18" s="427">
        <f t="shared" si="12"/>
        <v>7.8341013824884786E-2</v>
      </c>
      <c r="AD18" s="393">
        <v>4</v>
      </c>
      <c r="AE18" s="427">
        <f t="shared" si="13"/>
        <v>1.8433179723502304E-2</v>
      </c>
      <c r="AF18" s="47">
        <f>+Z18+AB18+AD18</f>
        <v>25</v>
      </c>
      <c r="AG18" s="552"/>
      <c r="AH18" s="411">
        <f t="shared" si="15"/>
        <v>0.1152073732718894</v>
      </c>
      <c r="AI18" s="411">
        <f t="shared" si="16"/>
        <v>5.7603686635944701E-2</v>
      </c>
      <c r="AJ18" s="409" t="s">
        <v>520</v>
      </c>
      <c r="AK18" s="555"/>
      <c r="AL18" s="404"/>
      <c r="AM18" s="557"/>
      <c r="AN18" s="393">
        <v>2</v>
      </c>
      <c r="AO18" s="427">
        <f t="shared" si="18"/>
        <v>8.68</v>
      </c>
      <c r="AP18" s="393">
        <v>18</v>
      </c>
      <c r="AQ18" s="427">
        <f t="shared" si="19"/>
        <v>78.12</v>
      </c>
      <c r="AR18" s="393">
        <v>28</v>
      </c>
      <c r="AS18" s="427">
        <f t="shared" si="20"/>
        <v>121.52</v>
      </c>
      <c r="AT18" s="47">
        <f>+AN18+AP18+AR18</f>
        <v>48</v>
      </c>
      <c r="AU18" s="428"/>
      <c r="AV18" s="428">
        <f t="shared" si="39"/>
        <v>208.32</v>
      </c>
      <c r="AW18" s="428">
        <f t="shared" si="40"/>
        <v>104.16</v>
      </c>
      <c r="AX18" s="430" t="s">
        <v>886</v>
      </c>
    </row>
    <row r="19" spans="1:50" ht="25.5" customHeight="1" x14ac:dyDescent="0.25">
      <c r="A19" s="574"/>
      <c r="B19" s="566" t="s">
        <v>309</v>
      </c>
      <c r="C19" s="568" t="str">
        <f>[3]SEGUIMIENTO!C112</f>
        <v>SB-PY3.1</v>
      </c>
      <c r="D19" s="44" t="s">
        <v>311</v>
      </c>
      <c r="E19" s="541">
        <v>301</v>
      </c>
      <c r="F19" s="518" t="s">
        <v>887</v>
      </c>
      <c r="G19" s="425">
        <v>219</v>
      </c>
      <c r="H19" s="425" t="s">
        <v>120</v>
      </c>
      <c r="I19" s="558">
        <f>[3]SEGUIMIENTO!I112</f>
        <v>408450000</v>
      </c>
      <c r="J19" s="558">
        <v>136003685</v>
      </c>
      <c r="K19" s="560">
        <f t="shared" si="4"/>
        <v>272446315</v>
      </c>
      <c r="L19" s="393">
        <v>5</v>
      </c>
      <c r="M19" s="427">
        <f t="shared" si="5"/>
        <v>2.2831050228310501E-2</v>
      </c>
      <c r="N19" s="393">
        <v>45</v>
      </c>
      <c r="O19" s="427">
        <f t="shared" si="6"/>
        <v>0.20547945205479451</v>
      </c>
      <c r="P19" s="393">
        <v>57</v>
      </c>
      <c r="Q19" s="427">
        <f t="shared" si="7"/>
        <v>0.26027397260273971</v>
      </c>
      <c r="R19" s="47">
        <f>+L19+N19+P19</f>
        <v>107</v>
      </c>
      <c r="S19" s="551">
        <f t="shared" ref="S19:S31" si="41">IFERROR((J19/I19),0)</f>
        <v>0.33297511323295387</v>
      </c>
      <c r="T19" s="411">
        <f t="shared" si="34"/>
        <v>0.48858447488584472</v>
      </c>
      <c r="U19" s="411">
        <f t="shared" si="9"/>
        <v>0.41077979405939929</v>
      </c>
      <c r="V19" s="131" t="s">
        <v>521</v>
      </c>
      <c r="W19" s="558">
        <v>416048971</v>
      </c>
      <c r="X19" s="558">
        <v>237727685</v>
      </c>
      <c r="Y19" s="560">
        <f t="shared" ref="Y19" si="42">W19-X19</f>
        <v>178321286</v>
      </c>
      <c r="Z19" s="393">
        <v>45</v>
      </c>
      <c r="AA19" s="427">
        <f t="shared" si="11"/>
        <v>0.20547945205479451</v>
      </c>
      <c r="AB19" s="393">
        <v>67</v>
      </c>
      <c r="AC19" s="427">
        <f t="shared" si="12"/>
        <v>0.30593607305936071</v>
      </c>
      <c r="AD19" s="393">
        <v>20</v>
      </c>
      <c r="AE19" s="427">
        <f t="shared" si="13"/>
        <v>9.1324200913242004E-2</v>
      </c>
      <c r="AF19" s="47">
        <f>+Z19+AB19+AD19</f>
        <v>132</v>
      </c>
      <c r="AG19" s="551">
        <f t="shared" ref="AG19" si="43">IFERROR((X19/W19),0)</f>
        <v>0.57139351751935952</v>
      </c>
      <c r="AH19" s="411">
        <f t="shared" si="15"/>
        <v>0.60273972602739723</v>
      </c>
      <c r="AI19" s="411">
        <f t="shared" si="16"/>
        <v>0.58706662177337843</v>
      </c>
      <c r="AJ19" s="131" t="s">
        <v>521</v>
      </c>
      <c r="AK19" s="558">
        <v>416048971</v>
      </c>
      <c r="AL19" s="558">
        <v>382457971</v>
      </c>
      <c r="AM19" s="560">
        <f t="shared" ref="AM19" si="44">AK19-AL19</f>
        <v>33591000</v>
      </c>
      <c r="AN19" s="393">
        <v>16</v>
      </c>
      <c r="AO19" s="427">
        <f t="shared" si="18"/>
        <v>38.950309220142358</v>
      </c>
      <c r="AP19" s="393">
        <v>51</v>
      </c>
      <c r="AQ19" s="427">
        <f t="shared" si="19"/>
        <v>124.15411063920376</v>
      </c>
      <c r="AR19" s="393">
        <v>81</v>
      </c>
      <c r="AS19" s="427">
        <f t="shared" si="20"/>
        <v>197.18594042697069</v>
      </c>
      <c r="AT19" s="47">
        <f>+AN19+AP19+AR19</f>
        <v>148</v>
      </c>
      <c r="AU19" s="428">
        <f t="shared" ref="AU19" si="45">IFERROR((AL19/AK19),0)</f>
        <v>0.91926190823339404</v>
      </c>
      <c r="AV19" s="428">
        <f t="shared" si="39"/>
        <v>360.2903602863168</v>
      </c>
      <c r="AW19" s="428">
        <f t="shared" si="40"/>
        <v>180.6048110972751</v>
      </c>
      <c r="AX19" s="584" t="s">
        <v>888</v>
      </c>
    </row>
    <row r="20" spans="1:50" ht="38.25" x14ac:dyDescent="0.25">
      <c r="A20" s="574"/>
      <c r="B20" s="572"/>
      <c r="C20" s="576"/>
      <c r="D20" s="44" t="s">
        <v>738</v>
      </c>
      <c r="E20" s="542"/>
      <c r="F20" s="519"/>
      <c r="G20" s="425">
        <v>16</v>
      </c>
      <c r="H20" s="425" t="s">
        <v>313</v>
      </c>
      <c r="I20" s="559"/>
      <c r="J20" s="559"/>
      <c r="K20" s="560"/>
      <c r="L20" s="393">
        <v>0</v>
      </c>
      <c r="M20" s="427">
        <f t="shared" si="5"/>
        <v>0</v>
      </c>
      <c r="N20" s="393">
        <v>10</v>
      </c>
      <c r="O20" s="427">
        <f t="shared" si="6"/>
        <v>0.625</v>
      </c>
      <c r="P20" s="393">
        <v>11</v>
      </c>
      <c r="Q20" s="427">
        <f t="shared" si="7"/>
        <v>0.6875</v>
      </c>
      <c r="R20" s="47">
        <f t="shared" ref="R20:R30" si="46">+L20+N20+P20</f>
        <v>21</v>
      </c>
      <c r="S20" s="553"/>
      <c r="T20" s="411">
        <f t="shared" si="34"/>
        <v>1.3125</v>
      </c>
      <c r="U20" s="411">
        <f t="shared" si="9"/>
        <v>0.65625</v>
      </c>
      <c r="V20" s="409" t="s">
        <v>522</v>
      </c>
      <c r="W20" s="559"/>
      <c r="X20" s="559"/>
      <c r="Y20" s="560"/>
      <c r="Z20" s="393">
        <v>14</v>
      </c>
      <c r="AA20" s="427">
        <f t="shared" si="11"/>
        <v>0.875</v>
      </c>
      <c r="AB20" s="393">
        <v>15</v>
      </c>
      <c r="AC20" s="427">
        <f t="shared" si="12"/>
        <v>0.9375</v>
      </c>
      <c r="AD20" s="393">
        <v>16</v>
      </c>
      <c r="AE20" s="427">
        <f t="shared" si="13"/>
        <v>1</v>
      </c>
      <c r="AF20" s="47">
        <v>16</v>
      </c>
      <c r="AG20" s="553"/>
      <c r="AH20" s="411">
        <f t="shared" si="15"/>
        <v>1</v>
      </c>
      <c r="AI20" s="411">
        <f t="shared" si="16"/>
        <v>0.5</v>
      </c>
      <c r="AJ20" s="409" t="s">
        <v>522</v>
      </c>
      <c r="AK20" s="559"/>
      <c r="AL20" s="559"/>
      <c r="AM20" s="560"/>
      <c r="AN20" s="393">
        <v>11</v>
      </c>
      <c r="AO20" s="427">
        <f t="shared" si="18"/>
        <v>16.761904761904763</v>
      </c>
      <c r="AP20" s="393">
        <v>11</v>
      </c>
      <c r="AQ20" s="427">
        <f t="shared" si="19"/>
        <v>16.761904761904763</v>
      </c>
      <c r="AR20" s="393">
        <v>11</v>
      </c>
      <c r="AS20" s="427">
        <f t="shared" si="20"/>
        <v>16.761904761904763</v>
      </c>
      <c r="AT20" s="47">
        <f>+AN20+AP20+AR20</f>
        <v>33</v>
      </c>
      <c r="AU20" s="428">
        <f>IFERROR((AL20/AK20),0)</f>
        <v>0</v>
      </c>
      <c r="AV20" s="428">
        <f t="shared" si="39"/>
        <v>50.285714285714285</v>
      </c>
      <c r="AW20" s="428">
        <f>(AU20+AV20)/2</f>
        <v>25.142857142857142</v>
      </c>
      <c r="AX20" s="585"/>
    </row>
    <row r="21" spans="1:50" ht="51" x14ac:dyDescent="0.25">
      <c r="A21" s="574"/>
      <c r="B21" s="572"/>
      <c r="C21" s="576"/>
      <c r="D21" s="44" t="s">
        <v>739</v>
      </c>
      <c r="E21" s="542"/>
      <c r="F21" s="519"/>
      <c r="G21" s="425">
        <v>16</v>
      </c>
      <c r="H21" s="425" t="s">
        <v>314</v>
      </c>
      <c r="I21" s="559"/>
      <c r="J21" s="559"/>
      <c r="K21" s="560"/>
      <c r="L21" s="393">
        <v>0</v>
      </c>
      <c r="M21" s="427">
        <f t="shared" si="5"/>
        <v>0</v>
      </c>
      <c r="N21" s="393">
        <v>0</v>
      </c>
      <c r="O21" s="427">
        <f t="shared" si="6"/>
        <v>0</v>
      </c>
      <c r="P21" s="393">
        <v>9</v>
      </c>
      <c r="Q21" s="427">
        <f t="shared" si="7"/>
        <v>0.5625</v>
      </c>
      <c r="R21" s="47">
        <f t="shared" si="46"/>
        <v>9</v>
      </c>
      <c r="S21" s="552"/>
      <c r="T21" s="411">
        <f t="shared" si="34"/>
        <v>0.5625</v>
      </c>
      <c r="U21" s="411">
        <f t="shared" si="9"/>
        <v>0.28125</v>
      </c>
      <c r="V21" s="409" t="s">
        <v>523</v>
      </c>
      <c r="W21" s="559"/>
      <c r="X21" s="559"/>
      <c r="Y21" s="560"/>
      <c r="Z21" s="393">
        <v>11</v>
      </c>
      <c r="AA21" s="427">
        <f t="shared" si="11"/>
        <v>0.6875</v>
      </c>
      <c r="AB21" s="393">
        <v>11</v>
      </c>
      <c r="AC21" s="427">
        <f t="shared" si="12"/>
        <v>0.6875</v>
      </c>
      <c r="AD21" s="393">
        <v>11</v>
      </c>
      <c r="AE21" s="427">
        <f t="shared" si="13"/>
        <v>0.6875</v>
      </c>
      <c r="AF21" s="47">
        <v>11</v>
      </c>
      <c r="AG21" s="552"/>
      <c r="AH21" s="411">
        <f t="shared" si="15"/>
        <v>0.6875</v>
      </c>
      <c r="AI21" s="411">
        <f t="shared" si="16"/>
        <v>0.34375</v>
      </c>
      <c r="AJ21" s="409" t="s">
        <v>523</v>
      </c>
      <c r="AK21" s="559"/>
      <c r="AL21" s="581"/>
      <c r="AM21" s="560"/>
      <c r="AN21" s="393">
        <v>11</v>
      </c>
      <c r="AO21" s="427">
        <f t="shared" si="18"/>
        <v>39.111111111111114</v>
      </c>
      <c r="AP21" s="393">
        <v>11</v>
      </c>
      <c r="AQ21" s="427">
        <f t="shared" si="19"/>
        <v>39.111111111111114</v>
      </c>
      <c r="AR21" s="393">
        <v>11</v>
      </c>
      <c r="AS21" s="427">
        <f t="shared" si="20"/>
        <v>39.111111111111114</v>
      </c>
      <c r="AT21" s="47">
        <f>+AN21+AP21+AR21</f>
        <v>33</v>
      </c>
      <c r="AU21" s="428"/>
      <c r="AV21" s="428">
        <f t="shared" si="39"/>
        <v>117.33333333333333</v>
      </c>
      <c r="AW21" s="428">
        <f t="shared" si="40"/>
        <v>58.666666666666664</v>
      </c>
      <c r="AX21" s="586"/>
    </row>
    <row r="22" spans="1:50" ht="33" customHeight="1" x14ac:dyDescent="0.25">
      <c r="A22" s="574"/>
      <c r="B22" s="566" t="s">
        <v>315</v>
      </c>
      <c r="C22" s="568" t="s">
        <v>316</v>
      </c>
      <c r="D22" s="2" t="str">
        <f>[3]SEGUIMIENTO!D115</f>
        <v xml:space="preserve"> Apoyo a actividades de clima organizacional, docentes, estudiantes y administrativos en las Sedes</v>
      </c>
      <c r="E22" s="541">
        <f>[3]SEGUIMIENTO!E115</f>
        <v>301</v>
      </c>
      <c r="F22" s="518" t="s">
        <v>318</v>
      </c>
      <c r="G22" s="425">
        <v>11</v>
      </c>
      <c r="H22" s="425" t="s">
        <v>120</v>
      </c>
      <c r="I22" s="558">
        <f>[3]SEGUIMIENTO!I115</f>
        <v>76465225</v>
      </c>
      <c r="J22" s="558">
        <v>10870000</v>
      </c>
      <c r="K22" s="406">
        <f t="shared" si="4"/>
        <v>65595225</v>
      </c>
      <c r="L22" s="393">
        <v>0</v>
      </c>
      <c r="M22" s="427">
        <f t="shared" si="5"/>
        <v>0</v>
      </c>
      <c r="N22" s="393">
        <v>0</v>
      </c>
      <c r="O22" s="427">
        <f t="shared" si="6"/>
        <v>0</v>
      </c>
      <c r="P22" s="393">
        <v>1</v>
      </c>
      <c r="Q22" s="427">
        <f t="shared" si="7"/>
        <v>9.0909090909090912E-2</v>
      </c>
      <c r="R22" s="47">
        <f t="shared" si="46"/>
        <v>1</v>
      </c>
      <c r="S22" s="551">
        <f t="shared" si="41"/>
        <v>0.14215612391122892</v>
      </c>
      <c r="T22" s="411">
        <f t="shared" si="34"/>
        <v>9.0909090909090912E-2</v>
      </c>
      <c r="U22" s="411">
        <f t="shared" si="9"/>
        <v>0.11653260741015992</v>
      </c>
      <c r="V22" s="582" t="s">
        <v>524</v>
      </c>
      <c r="W22" s="5">
        <v>125165225</v>
      </c>
      <c r="X22" s="5">
        <v>82611083</v>
      </c>
      <c r="Y22" s="406">
        <f t="shared" ref="Y22:Y23" si="47">W22-X22</f>
        <v>42554142</v>
      </c>
      <c r="Z22" s="393">
        <v>0</v>
      </c>
      <c r="AA22" s="427">
        <f t="shared" si="11"/>
        <v>0</v>
      </c>
      <c r="AB22" s="393">
        <v>0</v>
      </c>
      <c r="AC22" s="427">
        <f t="shared" si="12"/>
        <v>0</v>
      </c>
      <c r="AD22" s="393">
        <v>0</v>
      </c>
      <c r="AE22" s="427">
        <f t="shared" si="13"/>
        <v>0</v>
      </c>
      <c r="AF22" s="47">
        <f t="shared" ref="AF22:AF30" si="48">+Z22+AB22+AD22</f>
        <v>0</v>
      </c>
      <c r="AG22" s="551">
        <f t="shared" ref="AG22" si="49">IFERROR((X22/W22),0)</f>
        <v>0.66001625451478241</v>
      </c>
      <c r="AH22" s="411">
        <f>IFERROR((AF22/G22),0)</f>
        <v>0</v>
      </c>
      <c r="AI22" s="411">
        <f t="shared" si="16"/>
        <v>0.3300081272573912</v>
      </c>
      <c r="AJ22" s="8"/>
      <c r="AK22" s="5">
        <v>125165225</v>
      </c>
      <c r="AL22" s="404">
        <v>83669383</v>
      </c>
      <c r="AM22" s="406">
        <f t="shared" ref="AM22:AM23" si="50">AK22-AL22</f>
        <v>41495842</v>
      </c>
      <c r="AN22" s="393">
        <v>0</v>
      </c>
      <c r="AO22" s="427">
        <f t="shared" si="18"/>
        <v>0</v>
      </c>
      <c r="AP22" s="393">
        <v>1</v>
      </c>
      <c r="AQ22" s="427">
        <f t="shared" si="19"/>
        <v>8.5812891535182008</v>
      </c>
      <c r="AR22" s="393">
        <v>1</v>
      </c>
      <c r="AS22" s="427">
        <f t="shared" si="20"/>
        <v>8.5812891535182008</v>
      </c>
      <c r="AT22" s="47">
        <f t="shared" ref="AT22:AT30" si="51">+AN22+AP22+AR22</f>
        <v>2</v>
      </c>
      <c r="AU22" s="428">
        <f t="shared" ref="AU22" si="52">IFERROR((AL22/AK22),0)</f>
        <v>0.6684714783998511</v>
      </c>
      <c r="AV22" s="428">
        <f>IFERROR((AT22/U22),0)</f>
        <v>17.162578307036402</v>
      </c>
      <c r="AW22" s="428">
        <f t="shared" si="40"/>
        <v>8.9155248927181265</v>
      </c>
      <c r="AX22" s="409" t="s">
        <v>889</v>
      </c>
    </row>
    <row r="23" spans="1:50" ht="24" customHeight="1" x14ac:dyDescent="0.25">
      <c r="A23" s="574"/>
      <c r="B23" s="572"/>
      <c r="C23" s="576"/>
      <c r="D23" s="2" t="str">
        <f>[3]SEGUIMIENTO!D116</f>
        <v>Eventos convivencia, integración y reconocimiento</v>
      </c>
      <c r="E23" s="542"/>
      <c r="F23" s="519"/>
      <c r="G23" s="425">
        <v>9</v>
      </c>
      <c r="H23" s="425" t="s">
        <v>120</v>
      </c>
      <c r="I23" s="581"/>
      <c r="J23" s="581"/>
      <c r="K23" s="406">
        <f t="shared" si="4"/>
        <v>0</v>
      </c>
      <c r="L23" s="393">
        <v>0</v>
      </c>
      <c r="M23" s="427">
        <f t="shared" si="5"/>
        <v>0</v>
      </c>
      <c r="N23" s="393">
        <v>0</v>
      </c>
      <c r="O23" s="427">
        <f t="shared" si="6"/>
        <v>0</v>
      </c>
      <c r="P23" s="393"/>
      <c r="Q23" s="427">
        <f t="shared" si="7"/>
        <v>0</v>
      </c>
      <c r="R23" s="47">
        <f t="shared" si="46"/>
        <v>0</v>
      </c>
      <c r="S23" s="552"/>
      <c r="T23" s="411">
        <f t="shared" si="34"/>
        <v>0</v>
      </c>
      <c r="U23" s="411">
        <f t="shared" si="9"/>
        <v>0</v>
      </c>
      <c r="V23" s="583"/>
      <c r="W23" s="5"/>
      <c r="X23" s="5"/>
      <c r="Y23" s="406">
        <f t="shared" si="47"/>
        <v>0</v>
      </c>
      <c r="Z23" s="393">
        <v>1</v>
      </c>
      <c r="AA23" s="427">
        <f t="shared" si="11"/>
        <v>0.1111111111111111</v>
      </c>
      <c r="AB23" s="393"/>
      <c r="AC23" s="427">
        <f t="shared" si="12"/>
        <v>0</v>
      </c>
      <c r="AD23" s="393">
        <v>2</v>
      </c>
      <c r="AE23" s="427">
        <f t="shared" si="13"/>
        <v>0.22222222222222221</v>
      </c>
      <c r="AF23" s="47">
        <f t="shared" si="48"/>
        <v>3</v>
      </c>
      <c r="AG23" s="552"/>
      <c r="AH23" s="411">
        <f t="shared" si="15"/>
        <v>0.33333333333333331</v>
      </c>
      <c r="AI23" s="411">
        <f t="shared" si="16"/>
        <v>0.16666666666666666</v>
      </c>
      <c r="AJ23" s="8" t="s">
        <v>524</v>
      </c>
      <c r="AK23" s="5"/>
      <c r="AL23" s="404"/>
      <c r="AM23" s="406">
        <f t="shared" si="50"/>
        <v>0</v>
      </c>
      <c r="AN23" s="393">
        <v>3</v>
      </c>
      <c r="AO23" s="427">
        <f t="shared" si="18"/>
        <v>0</v>
      </c>
      <c r="AP23" s="393">
        <v>0</v>
      </c>
      <c r="AQ23" s="427">
        <f t="shared" si="19"/>
        <v>0</v>
      </c>
      <c r="AR23" s="393">
        <v>1</v>
      </c>
      <c r="AS23" s="427">
        <f t="shared" si="20"/>
        <v>0</v>
      </c>
      <c r="AT23" s="47">
        <f t="shared" si="51"/>
        <v>4</v>
      </c>
      <c r="AU23" s="428"/>
      <c r="AV23" s="428">
        <f t="shared" ref="AV23:AV26" si="53">IFERROR((AT23/U23),0)</f>
        <v>0</v>
      </c>
      <c r="AW23" s="428">
        <f t="shared" si="40"/>
        <v>0</v>
      </c>
      <c r="AX23" s="409" t="s">
        <v>890</v>
      </c>
    </row>
    <row r="24" spans="1:50" ht="102" x14ac:dyDescent="0.25">
      <c r="A24" s="574"/>
      <c r="B24" s="566" t="s">
        <v>320</v>
      </c>
      <c r="C24" s="568" t="str">
        <f>[3]SEGUIMIENTO!C117</f>
        <v>SB-PY5.1</v>
      </c>
      <c r="D24" s="2" t="str">
        <f>[3]SEGUIMIENTO!D117</f>
        <v>Prestación de servicio de restaurante a los estudiantes en las Sedes.</v>
      </c>
      <c r="E24" s="40"/>
      <c r="F24" s="425" t="s">
        <v>285</v>
      </c>
      <c r="G24" s="135">
        <v>2704</v>
      </c>
      <c r="H24" s="425" t="s">
        <v>286</v>
      </c>
      <c r="I24" s="554">
        <f>[3]SEGUIMIENTO!I117</f>
        <v>1431437569</v>
      </c>
      <c r="J24" s="554">
        <v>1372723790</v>
      </c>
      <c r="K24" s="556">
        <f t="shared" si="4"/>
        <v>58713779</v>
      </c>
      <c r="L24" s="54">
        <v>0</v>
      </c>
      <c r="M24" s="427">
        <f t="shared" si="5"/>
        <v>0</v>
      </c>
      <c r="N24" s="128">
        <v>39344</v>
      </c>
      <c r="O24" s="427">
        <f t="shared" si="6"/>
        <v>14.550295857988166</v>
      </c>
      <c r="P24" s="129">
        <v>71470</v>
      </c>
      <c r="Q24" s="427">
        <f t="shared" si="7"/>
        <v>26.431213017751478</v>
      </c>
      <c r="R24" s="127">
        <f t="shared" si="46"/>
        <v>110814</v>
      </c>
      <c r="S24" s="551">
        <f t="shared" si="41"/>
        <v>0.95898264774410147</v>
      </c>
      <c r="T24" s="411">
        <f t="shared" si="34"/>
        <v>40.981508875739642</v>
      </c>
      <c r="U24" s="411">
        <f t="shared" si="9"/>
        <v>20.970245761741872</v>
      </c>
      <c r="V24" s="409" t="s">
        <v>525</v>
      </c>
      <c r="W24" s="304">
        <v>1219603969</v>
      </c>
      <c r="X24" s="304">
        <v>504802036</v>
      </c>
      <c r="Y24" s="305">
        <f>W24-X24</f>
        <v>714801933</v>
      </c>
      <c r="Z24" s="54">
        <v>52969</v>
      </c>
      <c r="AA24" s="427">
        <f t="shared" si="11"/>
        <v>19.589127218934912</v>
      </c>
      <c r="AB24" s="128">
        <v>67903</v>
      </c>
      <c r="AC24" s="427">
        <f t="shared" si="12"/>
        <v>25.112056213017752</v>
      </c>
      <c r="AD24" s="129">
        <v>15290</v>
      </c>
      <c r="AE24" s="427">
        <f t="shared" si="13"/>
        <v>5.6545857988165684</v>
      </c>
      <c r="AF24" s="127">
        <f t="shared" si="48"/>
        <v>136162</v>
      </c>
      <c r="AG24" s="551">
        <f t="shared" ref="AG24" si="54">IFERROR((X24/W24),0)</f>
        <v>0.41390652115859095</v>
      </c>
      <c r="AH24" s="411">
        <f t="shared" si="15"/>
        <v>50.355769230769234</v>
      </c>
      <c r="AI24" s="411">
        <f t="shared" si="16"/>
        <v>25.384837875963914</v>
      </c>
      <c r="AJ24" s="409" t="s">
        <v>525</v>
      </c>
      <c r="AK24" s="304">
        <v>1219603969</v>
      </c>
      <c r="AL24" s="404">
        <v>813506012</v>
      </c>
      <c r="AM24" s="305">
        <f>AK24-AL24</f>
        <v>406097957</v>
      </c>
      <c r="AN24" s="54">
        <v>0</v>
      </c>
      <c r="AO24" s="427">
        <f t="shared" si="18"/>
        <v>0</v>
      </c>
      <c r="AP24" s="128">
        <v>74753</v>
      </c>
      <c r="AQ24" s="427">
        <f t="shared" si="19"/>
        <v>3564.7174024245064</v>
      </c>
      <c r="AR24" s="129">
        <v>76713</v>
      </c>
      <c r="AS24" s="427">
        <f t="shared" si="20"/>
        <v>3658.183164450807</v>
      </c>
      <c r="AT24" s="127">
        <f t="shared" si="51"/>
        <v>151466</v>
      </c>
      <c r="AU24" s="428">
        <f t="shared" ref="AU24:AU30" si="55">IFERROR((AL24/AK24),0)</f>
        <v>0.66702473317385536</v>
      </c>
      <c r="AV24" s="428">
        <f t="shared" si="53"/>
        <v>7222.9005668753134</v>
      </c>
      <c r="AW24" s="428">
        <f t="shared" si="40"/>
        <v>3611.7837958042437</v>
      </c>
      <c r="AX24" s="409" t="s">
        <v>891</v>
      </c>
    </row>
    <row r="25" spans="1:50" ht="76.5" x14ac:dyDescent="0.25">
      <c r="A25" s="574"/>
      <c r="B25" s="572"/>
      <c r="C25" s="576"/>
      <c r="D25" s="44" t="str">
        <f>[3]SEGUIMIENTO!D118</f>
        <v>Meriendas Pitalito</v>
      </c>
      <c r="E25" s="83"/>
      <c r="F25" s="425" t="s">
        <v>285</v>
      </c>
      <c r="G25" s="53">
        <v>81640</v>
      </c>
      <c r="H25" s="425" t="s">
        <v>286</v>
      </c>
      <c r="I25" s="562"/>
      <c r="J25" s="562"/>
      <c r="K25" s="563"/>
      <c r="L25" s="54">
        <v>0</v>
      </c>
      <c r="M25" s="427">
        <f t="shared" si="5"/>
        <v>0</v>
      </c>
      <c r="N25" s="128">
        <v>5200</v>
      </c>
      <c r="O25" s="427">
        <f t="shared" si="6"/>
        <v>6.3694267515923567E-2</v>
      </c>
      <c r="P25" s="129">
        <v>11440</v>
      </c>
      <c r="Q25" s="427">
        <f t="shared" si="7"/>
        <v>0.14012738853503184</v>
      </c>
      <c r="R25" s="127">
        <f t="shared" si="46"/>
        <v>16640</v>
      </c>
      <c r="S25" s="553"/>
      <c r="T25" s="411">
        <f t="shared" si="34"/>
        <v>0.20382165605095542</v>
      </c>
      <c r="U25" s="411">
        <f t="shared" si="9"/>
        <v>0.10191082802547771</v>
      </c>
      <c r="V25" s="132" t="s">
        <v>526</v>
      </c>
      <c r="W25" s="304">
        <v>125174400</v>
      </c>
      <c r="X25" s="304">
        <v>73018400</v>
      </c>
      <c r="Y25" s="305">
        <f t="shared" ref="Y25:Y30" si="56">W25-X25</f>
        <v>52156000</v>
      </c>
      <c r="Z25" s="54">
        <v>7800</v>
      </c>
      <c r="AA25" s="427">
        <f t="shared" si="11"/>
        <v>9.5541401273885357E-2</v>
      </c>
      <c r="AB25" s="128">
        <v>10920</v>
      </c>
      <c r="AC25" s="427">
        <f t="shared" si="12"/>
        <v>0.13375796178343949</v>
      </c>
      <c r="AD25" s="129">
        <v>1040</v>
      </c>
      <c r="AE25" s="427">
        <f t="shared" si="13"/>
        <v>1.2738853503184714E-2</v>
      </c>
      <c r="AF25" s="127">
        <f t="shared" si="48"/>
        <v>19760</v>
      </c>
      <c r="AG25" s="553"/>
      <c r="AH25" s="411">
        <f t="shared" si="15"/>
        <v>0.24203821656050956</v>
      </c>
      <c r="AI25" s="411">
        <f t="shared" si="16"/>
        <v>0.12101910828025478</v>
      </c>
      <c r="AJ25" s="132" t="s">
        <v>526</v>
      </c>
      <c r="AK25" s="304">
        <v>125174400</v>
      </c>
      <c r="AL25" s="404">
        <v>116829440</v>
      </c>
      <c r="AM25" s="305">
        <f t="shared" ref="AM25:AM30" si="57">AK25-AL25</f>
        <v>8344960</v>
      </c>
      <c r="AN25" s="54">
        <v>0</v>
      </c>
      <c r="AO25" s="427">
        <f t="shared" si="18"/>
        <v>0</v>
      </c>
      <c r="AP25" s="128">
        <v>10920</v>
      </c>
      <c r="AQ25" s="427">
        <f t="shared" si="19"/>
        <v>107152.5</v>
      </c>
      <c r="AR25" s="129">
        <v>10920</v>
      </c>
      <c r="AS25" s="427">
        <f t="shared" si="20"/>
        <v>107152.5</v>
      </c>
      <c r="AT25" s="127">
        <f t="shared" si="51"/>
        <v>21840</v>
      </c>
      <c r="AU25" s="428">
        <f t="shared" si="55"/>
        <v>0.93333333333333335</v>
      </c>
      <c r="AV25" s="428">
        <f t="shared" si="53"/>
        <v>214305</v>
      </c>
      <c r="AW25" s="428">
        <f t="shared" si="40"/>
        <v>107152.96666666666</v>
      </c>
      <c r="AX25" s="409" t="s">
        <v>892</v>
      </c>
    </row>
    <row r="26" spans="1:50" ht="81" x14ac:dyDescent="0.25">
      <c r="A26" s="574"/>
      <c r="B26" s="572"/>
      <c r="C26" s="576"/>
      <c r="D26" s="44" t="str">
        <f>[3]SEGUIMIENTO!D119</f>
        <v>Meriendas Garzón</v>
      </c>
      <c r="E26" s="83"/>
      <c r="F26" s="425" t="s">
        <v>285</v>
      </c>
      <c r="G26" s="53">
        <v>28260</v>
      </c>
      <c r="H26" s="425" t="s">
        <v>286</v>
      </c>
      <c r="I26" s="562"/>
      <c r="J26" s="562"/>
      <c r="K26" s="563"/>
      <c r="L26" s="54">
        <v>0</v>
      </c>
      <c r="M26" s="427">
        <f t="shared" si="5"/>
        <v>0</v>
      </c>
      <c r="N26" s="128">
        <v>1800</v>
      </c>
      <c r="O26" s="427">
        <f t="shared" si="6"/>
        <v>6.3694267515923567E-2</v>
      </c>
      <c r="P26" s="129">
        <v>3960</v>
      </c>
      <c r="Q26" s="427">
        <f t="shared" si="7"/>
        <v>0.14012738853503184</v>
      </c>
      <c r="R26" s="127">
        <f t="shared" si="46"/>
        <v>5760</v>
      </c>
      <c r="S26" s="553"/>
      <c r="T26" s="411">
        <f t="shared" si="34"/>
        <v>0.20382165605095542</v>
      </c>
      <c r="U26" s="411">
        <f t="shared" si="9"/>
        <v>0.10191082802547771</v>
      </c>
      <c r="V26" s="132" t="s">
        <v>527</v>
      </c>
      <c r="W26" s="304">
        <v>43329600</v>
      </c>
      <c r="X26" s="304">
        <v>26748004</v>
      </c>
      <c r="Y26" s="305">
        <f t="shared" si="56"/>
        <v>16581596</v>
      </c>
      <c r="Z26" s="54">
        <v>2700</v>
      </c>
      <c r="AA26" s="427">
        <f t="shared" si="11"/>
        <v>9.5541401273885357E-2</v>
      </c>
      <c r="AB26" s="128">
        <v>3780</v>
      </c>
      <c r="AC26" s="427">
        <f t="shared" si="12"/>
        <v>0.13375796178343949</v>
      </c>
      <c r="AD26" s="129">
        <v>360</v>
      </c>
      <c r="AE26" s="427">
        <f t="shared" si="13"/>
        <v>1.2738853503184714E-2</v>
      </c>
      <c r="AF26" s="127">
        <f t="shared" si="48"/>
        <v>6840</v>
      </c>
      <c r="AG26" s="553"/>
      <c r="AH26" s="411">
        <f t="shared" si="15"/>
        <v>0.24203821656050956</v>
      </c>
      <c r="AI26" s="411">
        <f t="shared" si="16"/>
        <v>0.12101910828025478</v>
      </c>
      <c r="AJ26" s="132" t="s">
        <v>527</v>
      </c>
      <c r="AK26" s="304">
        <v>43329600</v>
      </c>
      <c r="AL26" s="304">
        <v>43329600</v>
      </c>
      <c r="AM26" s="305">
        <f t="shared" si="57"/>
        <v>0</v>
      </c>
      <c r="AN26" s="54">
        <v>0</v>
      </c>
      <c r="AO26" s="427">
        <f t="shared" si="18"/>
        <v>0</v>
      </c>
      <c r="AP26" s="128">
        <v>3780</v>
      </c>
      <c r="AQ26" s="427">
        <f t="shared" si="19"/>
        <v>37091.25</v>
      </c>
      <c r="AR26" s="129">
        <v>3780</v>
      </c>
      <c r="AS26" s="427">
        <f t="shared" si="20"/>
        <v>37091.25</v>
      </c>
      <c r="AT26" s="127">
        <f t="shared" si="51"/>
        <v>7560</v>
      </c>
      <c r="AU26" s="428">
        <f t="shared" si="55"/>
        <v>1</v>
      </c>
      <c r="AV26" s="428">
        <f t="shared" si="53"/>
        <v>74182.5</v>
      </c>
      <c r="AW26" s="428">
        <f t="shared" si="40"/>
        <v>37091.75</v>
      </c>
      <c r="AX26" s="409" t="s">
        <v>893</v>
      </c>
    </row>
    <row r="27" spans="1:50" ht="19.5" customHeight="1" x14ac:dyDescent="0.25">
      <c r="A27" s="574"/>
      <c r="B27" s="572"/>
      <c r="C27" s="569"/>
      <c r="D27" s="44" t="str">
        <f>[3]SEGUIMIENTO!D120</f>
        <v>Meriendas La Plata</v>
      </c>
      <c r="E27" s="19"/>
      <c r="F27" s="425" t="s">
        <v>285</v>
      </c>
      <c r="G27" s="53">
        <v>28260</v>
      </c>
      <c r="H27" s="425" t="s">
        <v>286</v>
      </c>
      <c r="I27" s="555"/>
      <c r="J27" s="555"/>
      <c r="K27" s="557"/>
      <c r="L27" s="54"/>
      <c r="M27" s="427">
        <f t="shared" si="5"/>
        <v>0</v>
      </c>
      <c r="N27" s="128">
        <v>1800</v>
      </c>
      <c r="O27" s="427">
        <f t="shared" si="6"/>
        <v>6.3694267515923567E-2</v>
      </c>
      <c r="P27" s="129">
        <v>3960</v>
      </c>
      <c r="Q27" s="427">
        <f t="shared" si="7"/>
        <v>0.14012738853503184</v>
      </c>
      <c r="R27" s="127">
        <f t="shared" si="46"/>
        <v>5760</v>
      </c>
      <c r="S27" s="552"/>
      <c r="T27" s="411">
        <f t="shared" si="34"/>
        <v>0.20382165605095542</v>
      </c>
      <c r="U27" s="411">
        <f t="shared" si="9"/>
        <v>0.10191082802547771</v>
      </c>
      <c r="V27" s="132" t="s">
        <v>528</v>
      </c>
      <c r="W27" s="304">
        <v>43329600</v>
      </c>
      <c r="X27" s="304">
        <v>22748040</v>
      </c>
      <c r="Y27" s="305">
        <f t="shared" si="56"/>
        <v>20581560</v>
      </c>
      <c r="Z27" s="54">
        <v>1440</v>
      </c>
      <c r="AA27" s="427">
        <f t="shared" si="11"/>
        <v>5.0955414012738856E-2</v>
      </c>
      <c r="AB27" s="128">
        <v>3780</v>
      </c>
      <c r="AC27" s="427">
        <f t="shared" si="12"/>
        <v>0.13375796178343949</v>
      </c>
      <c r="AD27" s="129">
        <v>360</v>
      </c>
      <c r="AE27" s="427">
        <f t="shared" si="13"/>
        <v>1.2738853503184714E-2</v>
      </c>
      <c r="AF27" s="127">
        <f t="shared" si="48"/>
        <v>5580</v>
      </c>
      <c r="AG27" s="552"/>
      <c r="AH27" s="411">
        <f>IFERROR((AF27/G27),0)</f>
        <v>0.19745222929936307</v>
      </c>
      <c r="AI27" s="411">
        <f t="shared" si="16"/>
        <v>9.8726114649681534E-2</v>
      </c>
      <c r="AJ27" s="132" t="s">
        <v>528</v>
      </c>
      <c r="AK27" s="304">
        <v>43329600</v>
      </c>
      <c r="AL27" s="404">
        <v>36749920</v>
      </c>
      <c r="AM27" s="305">
        <f t="shared" si="57"/>
        <v>6579680</v>
      </c>
      <c r="AN27" s="54">
        <v>0</v>
      </c>
      <c r="AO27" s="427">
        <f t="shared" si="18"/>
        <v>0</v>
      </c>
      <c r="AP27" s="128">
        <v>3594</v>
      </c>
      <c r="AQ27" s="427">
        <f t="shared" si="19"/>
        <v>35266.125</v>
      </c>
      <c r="AR27" s="129">
        <v>3386</v>
      </c>
      <c r="AS27" s="427">
        <f t="shared" si="20"/>
        <v>33225.125</v>
      </c>
      <c r="AT27" s="127">
        <f t="shared" si="51"/>
        <v>6980</v>
      </c>
      <c r="AU27" s="428">
        <f t="shared" si="55"/>
        <v>0.8481481481481481</v>
      </c>
      <c r="AV27" s="428">
        <f>IFERROR((AT27/U27),0)</f>
        <v>68491.25</v>
      </c>
      <c r="AW27" s="428">
        <f t="shared" si="40"/>
        <v>34246.049074074072</v>
      </c>
      <c r="AX27" s="409" t="s">
        <v>894</v>
      </c>
    </row>
    <row r="28" spans="1:50" ht="36" customHeight="1" x14ac:dyDescent="0.25">
      <c r="A28" s="574"/>
      <c r="B28" s="572"/>
      <c r="C28" s="424" t="str">
        <f>[3]SEGUIMIENTO!C121</f>
        <v>SB-PY5.2</v>
      </c>
      <c r="D28" s="2" t="str">
        <f>[3]SEGUIMIENTO!D121</f>
        <v>Atención a población estudiantil en situación de extrema vulnerabilidad en las Sedes.</v>
      </c>
      <c r="E28" s="2">
        <f>[3]SEGUIMIENTO!E121</f>
        <v>301</v>
      </c>
      <c r="F28" s="425" t="s">
        <v>285</v>
      </c>
      <c r="G28" s="393">
        <v>159</v>
      </c>
      <c r="H28" s="425" t="s">
        <v>327</v>
      </c>
      <c r="I28" s="5">
        <f>[3]SEGUIMIENTO!I121</f>
        <v>30000000</v>
      </c>
      <c r="J28" s="5">
        <v>26964747</v>
      </c>
      <c r="K28" s="406">
        <f t="shared" si="4"/>
        <v>3035253</v>
      </c>
      <c r="L28" s="393">
        <v>0</v>
      </c>
      <c r="M28" s="427">
        <f t="shared" si="5"/>
        <v>0</v>
      </c>
      <c r="N28" s="393">
        <v>0</v>
      </c>
      <c r="O28" s="427">
        <f t="shared" si="6"/>
        <v>0</v>
      </c>
      <c r="P28" s="393">
        <v>188</v>
      </c>
      <c r="Q28" s="427">
        <f t="shared" si="7"/>
        <v>1.1823899371069182</v>
      </c>
      <c r="R28" s="130">
        <f t="shared" si="46"/>
        <v>188</v>
      </c>
      <c r="S28" s="411">
        <f t="shared" si="41"/>
        <v>0.89882490000000004</v>
      </c>
      <c r="T28" s="411">
        <f t="shared" si="34"/>
        <v>1.1823899371069182</v>
      </c>
      <c r="U28" s="411">
        <f t="shared" si="9"/>
        <v>1.0406074185534591</v>
      </c>
      <c r="V28" s="133" t="s">
        <v>529</v>
      </c>
      <c r="W28" s="404">
        <v>30000000</v>
      </c>
      <c r="X28" s="404"/>
      <c r="Y28" s="406">
        <f t="shared" si="56"/>
        <v>30000000</v>
      </c>
      <c r="Z28" s="393">
        <v>65</v>
      </c>
      <c r="AA28" s="427">
        <f t="shared" si="11"/>
        <v>0.4088050314465409</v>
      </c>
      <c r="AB28" s="393">
        <v>0</v>
      </c>
      <c r="AC28" s="427">
        <f t="shared" si="12"/>
        <v>0</v>
      </c>
      <c r="AD28" s="393">
        <v>0</v>
      </c>
      <c r="AE28" s="427">
        <f t="shared" si="13"/>
        <v>0</v>
      </c>
      <c r="AF28" s="130">
        <f t="shared" si="48"/>
        <v>65</v>
      </c>
      <c r="AG28" s="411">
        <f t="shared" ref="AG28:AG31" si="58">IFERROR((X28/W28),0)</f>
        <v>0</v>
      </c>
      <c r="AH28" s="411">
        <f t="shared" si="15"/>
        <v>0.4088050314465409</v>
      </c>
      <c r="AI28" s="411">
        <f t="shared" si="16"/>
        <v>0.20440251572327045</v>
      </c>
      <c r="AJ28" s="133" t="s">
        <v>529</v>
      </c>
      <c r="AK28" s="404">
        <v>30000000</v>
      </c>
      <c r="AL28" s="404">
        <v>51147697</v>
      </c>
      <c r="AM28" s="406">
        <f t="shared" si="57"/>
        <v>-21147697</v>
      </c>
      <c r="AN28" s="393">
        <v>41</v>
      </c>
      <c r="AO28" s="427">
        <f t="shared" si="18"/>
        <v>39.400065066798973</v>
      </c>
      <c r="AP28" s="393">
        <v>145</v>
      </c>
      <c r="AQ28" s="427">
        <f t="shared" si="19"/>
        <v>139.3416935289232</v>
      </c>
      <c r="AR28" s="393">
        <v>0</v>
      </c>
      <c r="AS28" s="427">
        <f t="shared" si="20"/>
        <v>0</v>
      </c>
      <c r="AT28" s="130">
        <f t="shared" si="51"/>
        <v>186</v>
      </c>
      <c r="AU28" s="428">
        <f t="shared" si="55"/>
        <v>1.7049232333333333</v>
      </c>
      <c r="AV28" s="428">
        <f t="shared" ref="AV28:AV30" si="59">IFERROR((AT28/U28),0)</f>
        <v>178.74175859572216</v>
      </c>
      <c r="AW28" s="428">
        <f t="shared" si="40"/>
        <v>90.223340914527753</v>
      </c>
      <c r="AX28" s="1" t="s">
        <v>895</v>
      </c>
    </row>
    <row r="29" spans="1:50" ht="36" customHeight="1" x14ac:dyDescent="0.25">
      <c r="A29" s="574"/>
      <c r="B29" s="567"/>
      <c r="C29" s="424" t="str">
        <f>[3]SEGUIMIENTO!C122</f>
        <v>SB-PY5.3</v>
      </c>
      <c r="D29" s="2" t="str">
        <f>[3]SEGUIMIENTO!D122</f>
        <v>Vinculación de estudiantes en procesos institucionales.</v>
      </c>
      <c r="E29" s="2">
        <f>[3]SEGUIMIENTO!E122</f>
        <v>301</v>
      </c>
      <c r="F29" s="425" t="s">
        <v>285</v>
      </c>
      <c r="G29" s="393">
        <v>30</v>
      </c>
      <c r="H29" s="425" t="s">
        <v>57</v>
      </c>
      <c r="I29" s="5">
        <f>[3]SEGUIMIENTO!I122</f>
        <v>84000000</v>
      </c>
      <c r="J29" s="5">
        <v>80042305</v>
      </c>
      <c r="K29" s="406">
        <f t="shared" si="4"/>
        <v>3957695</v>
      </c>
      <c r="L29" s="393">
        <v>0</v>
      </c>
      <c r="M29" s="427">
        <f t="shared" si="5"/>
        <v>0</v>
      </c>
      <c r="N29" s="393">
        <v>18</v>
      </c>
      <c r="O29" s="427">
        <f t="shared" si="6"/>
        <v>0.6</v>
      </c>
      <c r="P29" s="393">
        <v>3</v>
      </c>
      <c r="Q29" s="427">
        <f t="shared" si="7"/>
        <v>0.1</v>
      </c>
      <c r="R29" s="130">
        <f t="shared" si="46"/>
        <v>21</v>
      </c>
      <c r="S29" s="411">
        <f t="shared" si="41"/>
        <v>0.95288458333333337</v>
      </c>
      <c r="T29" s="411">
        <f t="shared" si="34"/>
        <v>0.7</v>
      </c>
      <c r="U29" s="411">
        <f t="shared" si="9"/>
        <v>0.82644229166666672</v>
      </c>
      <c r="V29" s="134" t="s">
        <v>530</v>
      </c>
      <c r="W29" s="5">
        <v>87213154</v>
      </c>
      <c r="X29" s="5">
        <v>29069284</v>
      </c>
      <c r="Y29" s="406">
        <f t="shared" si="56"/>
        <v>58143870</v>
      </c>
      <c r="Z29" s="393">
        <v>0</v>
      </c>
      <c r="AA29" s="427">
        <f t="shared" si="11"/>
        <v>0</v>
      </c>
      <c r="AB29" s="393">
        <v>0</v>
      </c>
      <c r="AC29" s="427">
        <f t="shared" si="12"/>
        <v>0</v>
      </c>
      <c r="AD29" s="393">
        <v>0</v>
      </c>
      <c r="AE29" s="427">
        <f t="shared" si="13"/>
        <v>0</v>
      </c>
      <c r="AF29" s="130">
        <f t="shared" si="48"/>
        <v>0</v>
      </c>
      <c r="AG29" s="411">
        <f t="shared" si="58"/>
        <v>0.3333130688061115</v>
      </c>
      <c r="AH29" s="411">
        <f t="shared" si="15"/>
        <v>0</v>
      </c>
      <c r="AI29" s="411">
        <f t="shared" si="16"/>
        <v>0.16665653440305575</v>
      </c>
      <c r="AJ29" s="134" t="s">
        <v>530</v>
      </c>
      <c r="AK29" s="5">
        <v>87213154</v>
      </c>
      <c r="AL29" s="404">
        <v>83999999</v>
      </c>
      <c r="AM29" s="406">
        <f t="shared" si="57"/>
        <v>3213155</v>
      </c>
      <c r="AN29" s="393">
        <v>0</v>
      </c>
      <c r="AO29" s="427">
        <f t="shared" si="18"/>
        <v>0</v>
      </c>
      <c r="AP29" s="393">
        <v>1</v>
      </c>
      <c r="AQ29" s="427">
        <f t="shared" si="19"/>
        <v>1.2100058407990273</v>
      </c>
      <c r="AR29" s="393">
        <v>1</v>
      </c>
      <c r="AS29" s="427">
        <f t="shared" si="20"/>
        <v>1.2100058407990273</v>
      </c>
      <c r="AT29" s="130">
        <f t="shared" si="51"/>
        <v>2</v>
      </c>
      <c r="AU29" s="428">
        <f t="shared" si="55"/>
        <v>0.96315744984982421</v>
      </c>
      <c r="AV29" s="428">
        <f t="shared" si="59"/>
        <v>2.4200116815980546</v>
      </c>
      <c r="AW29" s="428">
        <f t="shared" si="40"/>
        <v>1.6915845657239394</v>
      </c>
      <c r="AX29" s="134" t="s">
        <v>896</v>
      </c>
    </row>
    <row r="30" spans="1:50" ht="34.5" customHeight="1" x14ac:dyDescent="0.25">
      <c r="A30" s="575"/>
      <c r="B30" s="399" t="s">
        <v>330</v>
      </c>
      <c r="C30" s="414" t="s">
        <v>331</v>
      </c>
      <c r="D30" s="40" t="s">
        <v>332</v>
      </c>
      <c r="E30" s="2">
        <f>[3]SEGUIMIENTO!E123</f>
        <v>301</v>
      </c>
      <c r="F30" s="396" t="s">
        <v>285</v>
      </c>
      <c r="G30" s="223">
        <v>9386</v>
      </c>
      <c r="H30" s="396" t="s">
        <v>57</v>
      </c>
      <c r="I30" s="5">
        <f>[3]SEGUIMIENTO!I123</f>
        <v>50000000</v>
      </c>
      <c r="J30" s="402">
        <v>36096024</v>
      </c>
      <c r="K30" s="406">
        <f t="shared" si="4"/>
        <v>13903976</v>
      </c>
      <c r="L30" s="393">
        <v>0</v>
      </c>
      <c r="M30" s="427">
        <f t="shared" si="5"/>
        <v>0</v>
      </c>
      <c r="N30" s="393">
        <v>0</v>
      </c>
      <c r="O30" s="427">
        <f t="shared" si="6"/>
        <v>0</v>
      </c>
      <c r="P30" s="128">
        <v>0</v>
      </c>
      <c r="Q30" s="427">
        <f>IFERROR((P30/G30),0)</f>
        <v>0</v>
      </c>
      <c r="R30" s="130">
        <f t="shared" si="46"/>
        <v>0</v>
      </c>
      <c r="S30" s="411">
        <f t="shared" si="41"/>
        <v>0.72192047999999998</v>
      </c>
      <c r="T30" s="411">
        <f t="shared" si="34"/>
        <v>0</v>
      </c>
      <c r="U30" s="411">
        <f t="shared" si="9"/>
        <v>0.36096023999999999</v>
      </c>
      <c r="V30" s="8"/>
      <c r="W30" s="402">
        <v>50000000</v>
      </c>
      <c r="X30" s="306">
        <v>36096024</v>
      </c>
      <c r="Y30" s="406">
        <f t="shared" si="56"/>
        <v>13903976</v>
      </c>
      <c r="Z30" s="393">
        <v>0</v>
      </c>
      <c r="AA30" s="427">
        <f t="shared" si="11"/>
        <v>0</v>
      </c>
      <c r="AB30" s="393">
        <v>0</v>
      </c>
      <c r="AC30" s="427">
        <f t="shared" si="12"/>
        <v>0</v>
      </c>
      <c r="AD30" s="128">
        <v>1456</v>
      </c>
      <c r="AE30" s="427">
        <f t="shared" si="13"/>
        <v>0.15512465373961218</v>
      </c>
      <c r="AF30" s="130">
        <f t="shared" si="48"/>
        <v>1456</v>
      </c>
      <c r="AG30" s="411">
        <f t="shared" si="58"/>
        <v>0.72192047999999998</v>
      </c>
      <c r="AH30" s="411">
        <f t="shared" si="15"/>
        <v>0.15512465373961218</v>
      </c>
      <c r="AI30" s="411">
        <f t="shared" si="16"/>
        <v>0.43852256686980606</v>
      </c>
      <c r="AJ30" s="8" t="s">
        <v>727</v>
      </c>
      <c r="AK30" s="402">
        <v>50000000</v>
      </c>
      <c r="AL30" s="404">
        <v>37538476</v>
      </c>
      <c r="AM30" s="406">
        <f t="shared" si="57"/>
        <v>12461524</v>
      </c>
      <c r="AN30" s="393"/>
      <c r="AO30" s="427">
        <f t="shared" si="18"/>
        <v>0</v>
      </c>
      <c r="AP30" s="393"/>
      <c r="AQ30" s="427">
        <f t="shared" si="19"/>
        <v>0</v>
      </c>
      <c r="AR30" s="128"/>
      <c r="AS30" s="427">
        <f t="shared" si="20"/>
        <v>0</v>
      </c>
      <c r="AT30" s="130">
        <f t="shared" si="51"/>
        <v>0</v>
      </c>
      <c r="AU30" s="428">
        <f t="shared" si="55"/>
        <v>0.75076951999999997</v>
      </c>
      <c r="AV30" s="428">
        <f t="shared" si="59"/>
        <v>0</v>
      </c>
      <c r="AW30" s="428">
        <f t="shared" si="40"/>
        <v>0.37538475999999998</v>
      </c>
      <c r="AX30" s="8"/>
    </row>
    <row r="31" spans="1:50" s="17" customFormat="1" ht="21" customHeight="1" x14ac:dyDescent="0.25">
      <c r="A31" s="16"/>
      <c r="B31" s="580" t="s">
        <v>333</v>
      </c>
      <c r="C31" s="580"/>
      <c r="D31" s="580"/>
      <c r="E31" s="580"/>
      <c r="F31" s="580"/>
      <c r="G31" s="413"/>
      <c r="H31" s="413"/>
      <c r="I31" s="15">
        <f>SUM(I4:I30)</f>
        <v>2912307794</v>
      </c>
      <c r="J31" s="15">
        <f>SUM(J4:J30)</f>
        <v>1989545885</v>
      </c>
      <c r="K31" s="15">
        <f>SUM(K4:K30)</f>
        <v>922761909</v>
      </c>
      <c r="L31" s="16"/>
      <c r="M31" s="16"/>
      <c r="N31" s="16"/>
      <c r="O31" s="16"/>
      <c r="P31" s="16"/>
      <c r="Q31" s="16"/>
      <c r="R31" s="16"/>
      <c r="S31" s="411">
        <f t="shared" si="41"/>
        <v>0.68315096676900211</v>
      </c>
      <c r="T31" s="411">
        <f t="shared" si="34"/>
        <v>0</v>
      </c>
      <c r="U31" s="411">
        <f t="shared" si="9"/>
        <v>0.34157548338450106</v>
      </c>
      <c r="V31" s="16"/>
      <c r="W31" s="15">
        <f>SUM(W4:W30)</f>
        <v>3060839833</v>
      </c>
      <c r="X31" s="15">
        <f>SUM(X4:X30)</f>
        <v>1515071504</v>
      </c>
      <c r="Y31" s="15">
        <f>SUM(Y4:Y30)</f>
        <v>1545768329</v>
      </c>
      <c r="Z31" s="16"/>
      <c r="AA31" s="16"/>
      <c r="AB31" s="16"/>
      <c r="AC31" s="16"/>
      <c r="AD31" s="16"/>
      <c r="AE31" s="16"/>
      <c r="AF31" s="16"/>
      <c r="AG31" s="411">
        <f t="shared" si="58"/>
        <v>0.49498555516217368</v>
      </c>
      <c r="AH31" s="411">
        <f t="shared" ref="AH31" si="60">AA31+AC31+AE31</f>
        <v>0</v>
      </c>
      <c r="AI31" s="411">
        <f t="shared" si="16"/>
        <v>0.24749277758108684</v>
      </c>
      <c r="AJ31" s="16"/>
      <c r="AK31" s="15">
        <f>SUM(AK4:AK30)</f>
        <v>3060839833</v>
      </c>
      <c r="AL31" s="15">
        <f>SUM(AL4:AL30)</f>
        <v>2516376726</v>
      </c>
      <c r="AM31" s="15">
        <f>SUM(AM4:AM30)</f>
        <v>544463107</v>
      </c>
      <c r="AN31" s="16"/>
      <c r="AO31" s="16"/>
      <c r="AP31" s="16"/>
      <c r="AQ31" s="16"/>
      <c r="AR31" s="16"/>
      <c r="AS31" s="16"/>
      <c r="AT31" s="16"/>
      <c r="AU31" s="16"/>
      <c r="AV31" s="16"/>
      <c r="AW31" s="16"/>
      <c r="AX31" s="16"/>
    </row>
    <row r="32" spans="1:50" x14ac:dyDescent="0.25">
      <c r="I32" s="67">
        <f>[3]SEGUIMIENTO!I124-'[3]S. BIENESTAR'!I31</f>
        <v>0</v>
      </c>
      <c r="J32" s="67">
        <f>[3]SEGUIMIENTO!X124-'[3]S. BIENESTAR'!J31</f>
        <v>-474474381</v>
      </c>
      <c r="K32" s="67">
        <f>[3]SEGUIMIENTO!Y124-'[3]S. BIENESTAR'!K31</f>
        <v>623006420</v>
      </c>
      <c r="W32" s="67">
        <f>W31-[3]SEGUIMIENTO!W124</f>
        <v>0</v>
      </c>
      <c r="X32" s="67">
        <f>X31-[3]SEGUIMIENTO!X124</f>
        <v>0</v>
      </c>
      <c r="Y32" s="67">
        <f>Y31-[3]SEGUIMIENTO!Y124</f>
        <v>0</v>
      </c>
    </row>
  </sheetData>
  <mergeCells count="149">
    <mergeCell ref="AX19:AX21"/>
    <mergeCell ref="AK12:AK15"/>
    <mergeCell ref="AM12:AM15"/>
    <mergeCell ref="AK17:AK18"/>
    <mergeCell ref="AM17:AM18"/>
    <mergeCell ref="AK19:AK21"/>
    <mergeCell ref="AL19:AL21"/>
    <mergeCell ref="AM19:AM21"/>
    <mergeCell ref="AK8:AK9"/>
    <mergeCell ref="AM8:AM9"/>
    <mergeCell ref="AK10:AK11"/>
    <mergeCell ref="AM10:AM11"/>
    <mergeCell ref="AX10:AX11"/>
    <mergeCell ref="AK1:AK2"/>
    <mergeCell ref="AL1:AL2"/>
    <mergeCell ref="AM1:AM2"/>
    <mergeCell ref="AN1:AS1"/>
    <mergeCell ref="AT1:AT3"/>
    <mergeCell ref="AU1:AU2"/>
    <mergeCell ref="AV1:AV2"/>
    <mergeCell ref="AW1:AW2"/>
    <mergeCell ref="AX1:AX3"/>
    <mergeCell ref="AN2:AO2"/>
    <mergeCell ref="AP2:AQ2"/>
    <mergeCell ref="AR2:AS2"/>
    <mergeCell ref="AK3:AM3"/>
    <mergeCell ref="AU3:AW3"/>
    <mergeCell ref="V6:V7"/>
    <mergeCell ref="V22:V23"/>
    <mergeCell ref="S22:S23"/>
    <mergeCell ref="S24:S27"/>
    <mergeCell ref="S8:S9"/>
    <mergeCell ref="S10:S11"/>
    <mergeCell ref="S12:S15"/>
    <mergeCell ref="S17:S18"/>
    <mergeCell ref="S19:S21"/>
    <mergeCell ref="T8:T9"/>
    <mergeCell ref="U8:U9"/>
    <mergeCell ref="B31:F31"/>
    <mergeCell ref="C22:C23"/>
    <mergeCell ref="E22:E23"/>
    <mergeCell ref="F22:F23"/>
    <mergeCell ref="B24:B29"/>
    <mergeCell ref="I19:I21"/>
    <mergeCell ref="J19:J21"/>
    <mergeCell ref="K19:K21"/>
    <mergeCell ref="I24:I27"/>
    <mergeCell ref="K24:K27"/>
    <mergeCell ref="J24:J27"/>
    <mergeCell ref="I22:I23"/>
    <mergeCell ref="J22:J23"/>
    <mergeCell ref="A4:A30"/>
    <mergeCell ref="C8:C9"/>
    <mergeCell ref="D8:D9"/>
    <mergeCell ref="E8:E9"/>
    <mergeCell ref="C12:C15"/>
    <mergeCell ref="D12:D15"/>
    <mergeCell ref="E12:E15"/>
    <mergeCell ref="C10:C11"/>
    <mergeCell ref="E10:E11"/>
    <mergeCell ref="B19:B21"/>
    <mergeCell ref="C19:C21"/>
    <mergeCell ref="E19:E21"/>
    <mergeCell ref="C24:C27"/>
    <mergeCell ref="D10:D11"/>
    <mergeCell ref="N2:O2"/>
    <mergeCell ref="F8:F9"/>
    <mergeCell ref="B17:B18"/>
    <mergeCell ref="C17:C18"/>
    <mergeCell ref="D17:D18"/>
    <mergeCell ref="B22:B23"/>
    <mergeCell ref="E17:E18"/>
    <mergeCell ref="F12:F15"/>
    <mergeCell ref="F10:F11"/>
    <mergeCell ref="F19:F21"/>
    <mergeCell ref="I17:I18"/>
    <mergeCell ref="K17:K18"/>
    <mergeCell ref="J17:J18"/>
    <mergeCell ref="I10:I11"/>
    <mergeCell ref="K10:K11"/>
    <mergeCell ref="I12:I15"/>
    <mergeCell ref="K12:K15"/>
    <mergeCell ref="I3:K3"/>
    <mergeCell ref="J8:J9"/>
    <mergeCell ref="J10:J11"/>
    <mergeCell ref="J12:J15"/>
    <mergeCell ref="I8:I9"/>
    <mergeCell ref="K8:K9"/>
    <mergeCell ref="A1:B1"/>
    <mergeCell ref="C1:E1"/>
    <mergeCell ref="F1:H1"/>
    <mergeCell ref="B4:B16"/>
    <mergeCell ref="V1:V3"/>
    <mergeCell ref="A2:A3"/>
    <mergeCell ref="B2:B3"/>
    <mergeCell ref="C2:C3"/>
    <mergeCell ref="D2:D3"/>
    <mergeCell ref="E2:E3"/>
    <mergeCell ref="F2:F3"/>
    <mergeCell ref="I1:I2"/>
    <mergeCell ref="J1:J2"/>
    <mergeCell ref="K1:K2"/>
    <mergeCell ref="L1:Q1"/>
    <mergeCell ref="R1:R3"/>
    <mergeCell ref="G2:G3"/>
    <mergeCell ref="H2:H3"/>
    <mergeCell ref="L2:M2"/>
    <mergeCell ref="P2:Q2"/>
    <mergeCell ref="S3:U3"/>
    <mergeCell ref="S1:S2"/>
    <mergeCell ref="T1:T2"/>
    <mergeCell ref="U1:U2"/>
    <mergeCell ref="AG1:AG2"/>
    <mergeCell ref="AH1:AH2"/>
    <mergeCell ref="AI1:AI2"/>
    <mergeCell ref="AJ1:AJ3"/>
    <mergeCell ref="Z2:AA2"/>
    <mergeCell ref="AB2:AC2"/>
    <mergeCell ref="AD2:AE2"/>
    <mergeCell ref="AG3:AI3"/>
    <mergeCell ref="W1:W2"/>
    <mergeCell ref="X1:X2"/>
    <mergeCell ref="Y1:Y2"/>
    <mergeCell ref="Z1:AE1"/>
    <mergeCell ref="AF1:AF3"/>
    <mergeCell ref="W3:Y3"/>
    <mergeCell ref="AJ10:AJ11"/>
    <mergeCell ref="W12:W15"/>
    <mergeCell ref="X12:X15"/>
    <mergeCell ref="Y12:Y15"/>
    <mergeCell ref="AG12:AG15"/>
    <mergeCell ref="W8:W9"/>
    <mergeCell ref="X8:X9"/>
    <mergeCell ref="Y8:Y9"/>
    <mergeCell ref="AG8:AG9"/>
    <mergeCell ref="W10:W11"/>
    <mergeCell ref="X10:X11"/>
    <mergeCell ref="Y10:Y11"/>
    <mergeCell ref="AG10:AG11"/>
    <mergeCell ref="AG22:AG23"/>
    <mergeCell ref="AG24:AG27"/>
    <mergeCell ref="W17:W18"/>
    <mergeCell ref="X17:X18"/>
    <mergeCell ref="Y17:Y18"/>
    <mergeCell ref="AG17:AG18"/>
    <mergeCell ref="W19:W21"/>
    <mergeCell ref="X19:X21"/>
    <mergeCell ref="Y19:Y21"/>
    <mergeCell ref="AG19:AG21"/>
  </mergeCells>
  <conditionalFormatting sqref="AU4:AW30">
    <cfRule type="cellIs" dxfId="735" priority="1" operator="equal">
      <formula>0</formula>
    </cfRule>
  </conditionalFormatting>
  <conditionalFormatting sqref="AU4:AW30">
    <cfRule type="cellIs" dxfId="734" priority="2" operator="greaterThan">
      <formula>74.1%</formula>
    </cfRule>
    <cfRule type="cellIs" dxfId="733" priority="3" operator="between">
      <formula>56.1%</formula>
      <formula>74%</formula>
    </cfRule>
    <cfRule type="cellIs" dxfId="732" priority="4" operator="between">
      <formula>25.1%</formula>
      <formula>56%</formula>
    </cfRule>
    <cfRule type="cellIs" dxfId="731" priority="5" operator="lessThanOrEqual">
      <formula>25%</formula>
    </cfRule>
  </conditionalFormatting>
  <conditionalFormatting sqref="S17:T17 S19:T19 T18 S22:T22 T20:T21 S24:T24 T23 T25:T27 S28:T30">
    <cfRule type="cellIs" dxfId="730" priority="38" operator="greaterThan">
      <formula>24%</formula>
    </cfRule>
    <cfRule type="cellIs" dxfId="729" priority="39" operator="between">
      <formula>20%</formula>
      <formula>24%</formula>
    </cfRule>
    <cfRule type="cellIs" dxfId="728" priority="40" operator="between">
      <formula>9%</formula>
      <formula>19%</formula>
    </cfRule>
    <cfRule type="cellIs" dxfId="727" priority="41" operator="lessThan">
      <formula>9%</formula>
    </cfRule>
  </conditionalFormatting>
  <conditionalFormatting sqref="S31:T31">
    <cfRule type="cellIs" dxfId="726" priority="34" operator="greaterThan">
      <formula>24%</formula>
    </cfRule>
    <cfRule type="cellIs" dxfId="725" priority="35" operator="between">
      <formula>20%</formula>
      <formula>24%</formula>
    </cfRule>
    <cfRule type="cellIs" dxfId="724" priority="36" operator="between">
      <formula>9%</formula>
      <formula>19%</formula>
    </cfRule>
    <cfRule type="cellIs" dxfId="723" priority="37" operator="lessThan">
      <formula>9%</formula>
    </cfRule>
  </conditionalFormatting>
  <conditionalFormatting sqref="S4:U4 S10:T10 S12:T12 T11 T13:T16 S5:T8">
    <cfRule type="cellIs" dxfId="722" priority="30" operator="greaterThan">
      <formula>50%</formula>
    </cfRule>
    <cfRule type="cellIs" dxfId="721" priority="31" operator="between">
      <formula>37%</formula>
      <formula>50%</formula>
    </cfRule>
    <cfRule type="cellIs" dxfId="720" priority="32" operator="between">
      <formula>16%</formula>
      <formula>37%</formula>
    </cfRule>
    <cfRule type="cellIs" dxfId="719" priority="33" operator="lessThan">
      <formula>16%</formula>
    </cfRule>
  </conditionalFormatting>
  <conditionalFormatting sqref="U5:U8 U10:U31">
    <cfRule type="cellIs" dxfId="718" priority="26" operator="greaterThan">
      <formula>50%</formula>
    </cfRule>
    <cfRule type="cellIs" dxfId="717" priority="27" operator="between">
      <formula>37%</formula>
      <formula>50%</formula>
    </cfRule>
    <cfRule type="cellIs" dxfId="716" priority="28" operator="between">
      <formula>16%</formula>
      <formula>37%</formula>
    </cfRule>
    <cfRule type="cellIs" dxfId="715" priority="29" operator="lessThan">
      <formula>16%</formula>
    </cfRule>
  </conditionalFormatting>
  <conditionalFormatting sqref="AG17 AG19 AG22 AG24 AG28:AG30">
    <cfRule type="cellIs" dxfId="714" priority="22" operator="greaterThan">
      <formula>24%</formula>
    </cfRule>
    <cfRule type="cellIs" dxfId="713" priority="23" operator="between">
      <formula>20%</formula>
      <formula>24%</formula>
    </cfRule>
    <cfRule type="cellIs" dxfId="712" priority="24" operator="between">
      <formula>9%</formula>
      <formula>19%</formula>
    </cfRule>
    <cfRule type="cellIs" dxfId="711" priority="25" operator="lessThan">
      <formula>9%</formula>
    </cfRule>
  </conditionalFormatting>
  <conditionalFormatting sqref="AG31:AH31">
    <cfRule type="cellIs" dxfId="710" priority="18" operator="greaterThan">
      <formula>24%</formula>
    </cfRule>
    <cfRule type="cellIs" dxfId="709" priority="19" operator="between">
      <formula>20%</formula>
      <formula>24%</formula>
    </cfRule>
    <cfRule type="cellIs" dxfId="708" priority="20" operator="between">
      <formula>9%</formula>
      <formula>19%</formula>
    </cfRule>
    <cfRule type="cellIs" dxfId="707" priority="21" operator="lessThan">
      <formula>9%</formula>
    </cfRule>
  </conditionalFormatting>
  <conditionalFormatting sqref="AG4:AI4 AG10 AG12 AG5:AG8 AH5:AH30">
    <cfRule type="cellIs" dxfId="706" priority="14" operator="greaterThan">
      <formula>50%</formula>
    </cfRule>
    <cfRule type="cellIs" dxfId="705" priority="15" operator="between">
      <formula>37%</formula>
      <formula>50%</formula>
    </cfRule>
    <cfRule type="cellIs" dxfId="704" priority="16" operator="between">
      <formula>16%</formula>
      <formula>37%</formula>
    </cfRule>
    <cfRule type="cellIs" dxfId="703" priority="17" operator="lessThan">
      <formula>16%</formula>
    </cfRule>
  </conditionalFormatting>
  <conditionalFormatting sqref="AI5:AI31">
    <cfRule type="cellIs" dxfId="702" priority="10" operator="greaterThan">
      <formula>50%</formula>
    </cfRule>
    <cfRule type="cellIs" dxfId="701" priority="11" operator="between">
      <formula>37%</formula>
      <formula>50%</formula>
    </cfRule>
    <cfRule type="cellIs" dxfId="700" priority="12" operator="between">
      <formula>16%</formula>
      <formula>37%</formula>
    </cfRule>
    <cfRule type="cellIs" dxfId="699" priority="13" operator="lessThan">
      <formula>16%</formula>
    </cfRule>
  </conditionalFormatting>
  <conditionalFormatting sqref="S16">
    <cfRule type="cellIs" dxfId="698" priority="6" operator="greaterThan">
      <formula>50%</formula>
    </cfRule>
    <cfRule type="cellIs" dxfId="697" priority="7" operator="between">
      <formula>37%</formula>
      <formula>50%</formula>
    </cfRule>
    <cfRule type="cellIs" dxfId="696" priority="8" operator="between">
      <formula>16%</formula>
      <formula>37%</formula>
    </cfRule>
    <cfRule type="cellIs" dxfId="695" priority="9" operator="lessThan">
      <formula>16%</formula>
    </cfRule>
  </conditionalFormatting>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X41"/>
  <sheetViews>
    <sheetView showGridLines="0" tabSelected="1" topLeftCell="A4" zoomScale="90" zoomScaleNormal="90" zoomScalePageLayoutView="50" workbookViewId="0">
      <pane xSplit="3" ySplit="4" topLeftCell="AQ8" activePane="bottomRight" state="frozen"/>
      <selection activeCell="A4" sqref="A4"/>
      <selection pane="topRight" activeCell="D4" sqref="D4"/>
      <selection pane="bottomLeft" activeCell="A8" sqref="A8"/>
      <selection pane="bottomRight" activeCell="BA12" sqref="BA12"/>
    </sheetView>
  </sheetViews>
  <sheetFormatPr baseColWidth="10" defaultRowHeight="15" x14ac:dyDescent="0.25"/>
  <cols>
    <col min="1" max="1" width="11" customWidth="1"/>
    <col min="2" max="2" width="23" customWidth="1"/>
    <col min="3" max="3" width="8.85546875" customWidth="1"/>
    <col min="4" max="4" width="51.42578125" customWidth="1"/>
    <col min="5" max="5" width="6.28515625" customWidth="1"/>
    <col min="6" max="8" width="14.28515625" customWidth="1"/>
    <col min="9" max="9" width="0.140625" customWidth="1"/>
    <col min="10" max="10" width="16.28515625" hidden="1" customWidth="1"/>
    <col min="11" max="21" width="14.28515625" hidden="1" customWidth="1"/>
    <col min="22" max="22" width="85.28515625" hidden="1" customWidth="1"/>
    <col min="23" max="25" width="14.28515625" hidden="1" customWidth="1"/>
    <col min="26" max="31" width="11.42578125" hidden="1" customWidth="1"/>
    <col min="32" max="32" width="13.140625" hidden="1" customWidth="1"/>
    <col min="33" max="34" width="11.42578125" hidden="1" customWidth="1"/>
    <col min="35" max="35" width="13.140625" hidden="1" customWidth="1"/>
    <col min="36" max="36" width="85.28515625" hidden="1" customWidth="1"/>
    <col min="37" max="39" width="14.28515625" customWidth="1"/>
    <col min="40" max="45" width="11.42578125" customWidth="1"/>
    <col min="46" max="46" width="13.140625" customWidth="1"/>
    <col min="49" max="49" width="13.140625" customWidth="1"/>
    <col min="50" max="50" width="85.28515625" customWidth="1"/>
  </cols>
  <sheetData>
    <row r="1" spans="1:50" ht="15.75" x14ac:dyDescent="0.25">
      <c r="A1" s="591"/>
      <c r="B1" s="589" t="s">
        <v>398</v>
      </c>
      <c r="C1" s="589"/>
      <c r="D1" s="589"/>
      <c r="E1" s="589"/>
      <c r="F1" s="589"/>
      <c r="G1" s="589"/>
      <c r="H1" s="589"/>
      <c r="I1" s="589"/>
      <c r="J1" s="591"/>
      <c r="K1" s="591"/>
      <c r="L1" s="419"/>
      <c r="M1" s="419"/>
      <c r="N1" s="419"/>
      <c r="O1" s="419"/>
      <c r="P1" s="419"/>
      <c r="Q1" s="419"/>
      <c r="R1" s="419"/>
      <c r="S1" s="419"/>
      <c r="T1" s="419"/>
      <c r="U1" s="419"/>
      <c r="V1" s="591"/>
      <c r="W1" s="419"/>
      <c r="X1" s="419"/>
      <c r="Y1" s="419"/>
      <c r="Z1" s="591"/>
      <c r="AA1" s="592" t="str">
        <f>B1</f>
        <v>UNIVERSIDAD SURCOLOMBIANA</v>
      </c>
      <c r="AB1" s="592"/>
      <c r="AC1" s="592"/>
      <c r="AD1" s="592"/>
      <c r="AE1" s="592"/>
      <c r="AF1" s="592"/>
      <c r="AG1" s="592"/>
      <c r="AH1" s="592"/>
      <c r="AI1" s="592"/>
      <c r="AJ1" s="591"/>
      <c r="AK1" s="419"/>
      <c r="AL1" s="419"/>
      <c r="AM1" s="419"/>
      <c r="AN1" s="591"/>
      <c r="AO1" s="592">
        <f>P1</f>
        <v>0</v>
      </c>
      <c r="AP1" s="592"/>
      <c r="AQ1" s="592"/>
      <c r="AR1" s="592"/>
      <c r="AS1" s="592"/>
      <c r="AT1" s="592"/>
      <c r="AU1" s="592"/>
      <c r="AV1" s="592"/>
      <c r="AW1" s="592"/>
      <c r="AX1" s="591"/>
    </row>
    <row r="2" spans="1:50" ht="15.75" x14ac:dyDescent="0.25">
      <c r="A2" s="591"/>
      <c r="B2" s="589" t="s">
        <v>399</v>
      </c>
      <c r="C2" s="589"/>
      <c r="D2" s="589"/>
      <c r="E2" s="589"/>
      <c r="F2" s="589"/>
      <c r="G2" s="589"/>
      <c r="H2" s="589"/>
      <c r="I2" s="589"/>
      <c r="J2" s="591"/>
      <c r="K2" s="591"/>
      <c r="L2" s="419"/>
      <c r="M2" s="419"/>
      <c r="N2" s="419"/>
      <c r="O2" s="419"/>
      <c r="P2" s="419"/>
      <c r="Q2" s="419"/>
      <c r="R2" s="419"/>
      <c r="S2" s="419"/>
      <c r="T2" s="419"/>
      <c r="U2" s="419"/>
      <c r="V2" s="591"/>
      <c r="W2" s="419"/>
      <c r="X2" s="419"/>
      <c r="Y2" s="419"/>
      <c r="Z2" s="591"/>
      <c r="AA2" s="592" t="str">
        <f>B2</f>
        <v>OFICINA DE PLANEACIÓN</v>
      </c>
      <c r="AB2" s="592"/>
      <c r="AC2" s="592"/>
      <c r="AD2" s="592"/>
      <c r="AE2" s="592"/>
      <c r="AF2" s="592"/>
      <c r="AG2" s="592"/>
      <c r="AH2" s="592"/>
      <c r="AI2" s="592"/>
      <c r="AJ2" s="591"/>
      <c r="AK2" s="419"/>
      <c r="AL2" s="419"/>
      <c r="AM2" s="419"/>
      <c r="AN2" s="591"/>
      <c r="AO2" s="592">
        <f>P2</f>
        <v>0</v>
      </c>
      <c r="AP2" s="592"/>
      <c r="AQ2" s="592"/>
      <c r="AR2" s="592"/>
      <c r="AS2" s="592"/>
      <c r="AT2" s="592"/>
      <c r="AU2" s="592"/>
      <c r="AV2" s="592"/>
      <c r="AW2" s="592"/>
      <c r="AX2" s="591"/>
    </row>
    <row r="3" spans="1:50" ht="15.75" x14ac:dyDescent="0.25">
      <c r="A3" s="591"/>
      <c r="B3" s="590" t="s">
        <v>400</v>
      </c>
      <c r="C3" s="590"/>
      <c r="D3" s="590"/>
      <c r="E3" s="590"/>
      <c r="F3" s="590"/>
      <c r="G3" s="590"/>
      <c r="H3" s="590"/>
      <c r="I3" s="590"/>
      <c r="J3" s="591"/>
      <c r="K3" s="591"/>
      <c r="L3" s="419"/>
      <c r="M3" s="419"/>
      <c r="N3" s="419"/>
      <c r="O3" s="419"/>
      <c r="P3" s="419"/>
      <c r="Q3" s="419"/>
      <c r="R3" s="419"/>
      <c r="S3" s="419"/>
      <c r="T3" s="419"/>
      <c r="U3" s="419"/>
      <c r="V3" s="591"/>
      <c r="W3" s="419"/>
      <c r="X3" s="419"/>
      <c r="Y3" s="419"/>
      <c r="Z3" s="591"/>
      <c r="AA3" s="593" t="str">
        <f>B3</f>
        <v>SEGUIMIENTO AL PLAN DE DESARROLLO</v>
      </c>
      <c r="AB3" s="593"/>
      <c r="AC3" s="593"/>
      <c r="AD3" s="593"/>
      <c r="AE3" s="593"/>
      <c r="AF3" s="593"/>
      <c r="AG3" s="593"/>
      <c r="AH3" s="593"/>
      <c r="AI3" s="593"/>
      <c r="AJ3" s="591"/>
      <c r="AK3" s="419"/>
      <c r="AL3" s="419"/>
      <c r="AM3" s="419"/>
      <c r="AN3" s="591"/>
      <c r="AO3" s="593">
        <f>P3</f>
        <v>0</v>
      </c>
      <c r="AP3" s="593"/>
      <c r="AQ3" s="593"/>
      <c r="AR3" s="593"/>
      <c r="AS3" s="593"/>
      <c r="AT3" s="593"/>
      <c r="AU3" s="593"/>
      <c r="AV3" s="593"/>
      <c r="AW3" s="593"/>
      <c r="AX3" s="591"/>
    </row>
    <row r="4" spans="1:50" ht="15.75" x14ac:dyDescent="0.25">
      <c r="A4" s="418" t="s">
        <v>401</v>
      </c>
      <c r="B4" s="547" t="s">
        <v>402</v>
      </c>
      <c r="C4" s="547"/>
      <c r="D4" s="418" t="s">
        <v>403</v>
      </c>
      <c r="E4" s="547">
        <v>1</v>
      </c>
      <c r="F4" s="547"/>
      <c r="G4" s="589" t="s">
        <v>404</v>
      </c>
      <c r="H4" s="589"/>
      <c r="I4" s="590">
        <v>2016</v>
      </c>
      <c r="J4" s="590"/>
      <c r="K4" s="590"/>
      <c r="L4" s="421"/>
      <c r="M4" s="421"/>
      <c r="N4" s="421"/>
      <c r="O4" s="421"/>
      <c r="P4" s="421"/>
      <c r="Q4" s="421"/>
      <c r="R4" s="421"/>
      <c r="S4" s="421"/>
      <c r="T4" s="421"/>
      <c r="U4" s="421"/>
      <c r="V4" s="421"/>
      <c r="W4" s="421"/>
      <c r="X4" s="421"/>
      <c r="Y4" s="421"/>
      <c r="Z4" s="75" t="s">
        <v>401</v>
      </c>
      <c r="AA4" s="547" t="str">
        <f>B4</f>
        <v>ES-PLA-FO-04</v>
      </c>
      <c r="AB4" s="547"/>
      <c r="AC4" s="547"/>
      <c r="AD4" s="589" t="str">
        <f>D4</f>
        <v>VERSION</v>
      </c>
      <c r="AE4" s="589"/>
      <c r="AF4" s="547">
        <f>E4</f>
        <v>1</v>
      </c>
      <c r="AG4" s="547"/>
      <c r="AH4" s="589" t="str">
        <f>G4</f>
        <v>VIGENCIA</v>
      </c>
      <c r="AI4" s="589"/>
      <c r="AJ4" s="421">
        <f>I4</f>
        <v>2016</v>
      </c>
      <c r="AK4" s="421"/>
      <c r="AL4" s="421"/>
      <c r="AM4" s="421"/>
      <c r="AN4" s="75" t="s">
        <v>401</v>
      </c>
      <c r="AO4" s="547">
        <f>P4</f>
        <v>0</v>
      </c>
      <c r="AP4" s="547"/>
      <c r="AQ4" s="547"/>
      <c r="AR4" s="589">
        <f>R4</f>
        <v>0</v>
      </c>
      <c r="AS4" s="589"/>
      <c r="AT4" s="547">
        <f>S4</f>
        <v>0</v>
      </c>
      <c r="AU4" s="547"/>
      <c r="AV4" s="589">
        <f>U4</f>
        <v>0</v>
      </c>
      <c r="AW4" s="589"/>
      <c r="AX4" s="421">
        <f>W4</f>
        <v>0</v>
      </c>
    </row>
    <row r="5" spans="1:50" ht="15" customHeight="1" x14ac:dyDescent="0.25">
      <c r="A5" s="481" t="s">
        <v>406</v>
      </c>
      <c r="B5" s="482"/>
      <c r="C5" s="483" t="s">
        <v>407</v>
      </c>
      <c r="D5" s="484"/>
      <c r="E5" s="485"/>
      <c r="F5" s="486"/>
      <c r="G5" s="487"/>
      <c r="H5" s="488"/>
      <c r="I5" s="489" t="s">
        <v>0</v>
      </c>
      <c r="J5" s="475" t="s">
        <v>1</v>
      </c>
      <c r="K5" s="475" t="s">
        <v>2</v>
      </c>
      <c r="L5" s="529" t="s">
        <v>3</v>
      </c>
      <c r="M5" s="529"/>
      <c r="N5" s="529"/>
      <c r="O5" s="529"/>
      <c r="P5" s="529"/>
      <c r="Q5" s="529"/>
      <c r="R5" s="529" t="s">
        <v>4</v>
      </c>
      <c r="S5" s="530" t="s">
        <v>5</v>
      </c>
      <c r="T5" s="531" t="s">
        <v>6</v>
      </c>
      <c r="U5" s="530" t="s">
        <v>7</v>
      </c>
      <c r="V5" s="532" t="s">
        <v>8</v>
      </c>
      <c r="W5" s="489" t="s">
        <v>830</v>
      </c>
      <c r="X5" s="475" t="s">
        <v>1</v>
      </c>
      <c r="Y5" s="475" t="s">
        <v>2</v>
      </c>
      <c r="Z5" s="529" t="s">
        <v>3</v>
      </c>
      <c r="AA5" s="529"/>
      <c r="AB5" s="529"/>
      <c r="AC5" s="529"/>
      <c r="AD5" s="529"/>
      <c r="AE5" s="529"/>
      <c r="AF5" s="529" t="s">
        <v>4</v>
      </c>
      <c r="AG5" s="530" t="s">
        <v>5</v>
      </c>
      <c r="AH5" s="531" t="s">
        <v>6</v>
      </c>
      <c r="AI5" s="530" t="s">
        <v>7</v>
      </c>
      <c r="AJ5" s="532" t="s">
        <v>8</v>
      </c>
      <c r="AK5" s="489" t="s">
        <v>830</v>
      </c>
      <c r="AL5" s="475" t="s">
        <v>1</v>
      </c>
      <c r="AM5" s="475" t="s">
        <v>2</v>
      </c>
      <c r="AN5" s="529" t="s">
        <v>3</v>
      </c>
      <c r="AO5" s="529"/>
      <c r="AP5" s="529"/>
      <c r="AQ5" s="529"/>
      <c r="AR5" s="529"/>
      <c r="AS5" s="529"/>
      <c r="AT5" s="529" t="s">
        <v>4</v>
      </c>
      <c r="AU5" s="530" t="s">
        <v>5</v>
      </c>
      <c r="AV5" s="531" t="s">
        <v>6</v>
      </c>
      <c r="AW5" s="530" t="s">
        <v>7</v>
      </c>
      <c r="AX5" s="532" t="s">
        <v>8</v>
      </c>
    </row>
    <row r="6" spans="1:50" ht="28.5" customHeight="1" x14ac:dyDescent="0.25">
      <c r="A6" s="491" t="s">
        <v>9</v>
      </c>
      <c r="B6" s="491" t="s">
        <v>10</v>
      </c>
      <c r="C6" s="492" t="s">
        <v>11</v>
      </c>
      <c r="D6" s="491" t="s">
        <v>12</v>
      </c>
      <c r="E6" s="494" t="s">
        <v>13</v>
      </c>
      <c r="F6" s="476" t="s">
        <v>14</v>
      </c>
      <c r="G6" s="476" t="s">
        <v>15</v>
      </c>
      <c r="H6" s="476" t="s">
        <v>16</v>
      </c>
      <c r="I6" s="490"/>
      <c r="J6" s="475"/>
      <c r="K6" s="475"/>
      <c r="L6" s="529" t="s">
        <v>734</v>
      </c>
      <c r="M6" s="529"/>
      <c r="N6" s="529" t="s">
        <v>735</v>
      </c>
      <c r="O6" s="529"/>
      <c r="P6" s="529" t="s">
        <v>736</v>
      </c>
      <c r="Q6" s="529"/>
      <c r="R6" s="529"/>
      <c r="S6" s="530"/>
      <c r="T6" s="531"/>
      <c r="U6" s="530"/>
      <c r="V6" s="532"/>
      <c r="W6" s="490"/>
      <c r="X6" s="475"/>
      <c r="Y6" s="475"/>
      <c r="Z6" s="529" t="s">
        <v>392</v>
      </c>
      <c r="AA6" s="529"/>
      <c r="AB6" s="529" t="s">
        <v>393</v>
      </c>
      <c r="AC6" s="529"/>
      <c r="AD6" s="529" t="s">
        <v>397</v>
      </c>
      <c r="AE6" s="529"/>
      <c r="AF6" s="529"/>
      <c r="AG6" s="530"/>
      <c r="AH6" s="531"/>
      <c r="AI6" s="530"/>
      <c r="AJ6" s="532"/>
      <c r="AK6" s="490"/>
      <c r="AL6" s="475"/>
      <c r="AM6" s="475"/>
      <c r="AN6" s="529" t="s">
        <v>838</v>
      </c>
      <c r="AO6" s="529"/>
      <c r="AP6" s="529" t="s">
        <v>839</v>
      </c>
      <c r="AQ6" s="529"/>
      <c r="AR6" s="529" t="s">
        <v>840</v>
      </c>
      <c r="AS6" s="529"/>
      <c r="AT6" s="529"/>
      <c r="AU6" s="530"/>
      <c r="AV6" s="531"/>
      <c r="AW6" s="530"/>
      <c r="AX6" s="532"/>
    </row>
    <row r="7" spans="1:50" ht="23.25" customHeight="1" x14ac:dyDescent="0.25">
      <c r="A7" s="491"/>
      <c r="B7" s="491"/>
      <c r="C7" s="493"/>
      <c r="D7" s="491"/>
      <c r="E7" s="495"/>
      <c r="F7" s="477"/>
      <c r="G7" s="477"/>
      <c r="H7" s="477"/>
      <c r="I7" s="478" t="s">
        <v>17</v>
      </c>
      <c r="J7" s="479"/>
      <c r="K7" s="480"/>
      <c r="L7" s="394" t="s">
        <v>18</v>
      </c>
      <c r="M7" s="394" t="s">
        <v>19</v>
      </c>
      <c r="N7" s="394" t="s">
        <v>18</v>
      </c>
      <c r="O7" s="394" t="s">
        <v>19</v>
      </c>
      <c r="P7" s="394" t="s">
        <v>18</v>
      </c>
      <c r="Q7" s="394" t="s">
        <v>19</v>
      </c>
      <c r="R7" s="529"/>
      <c r="S7" s="533" t="s">
        <v>20</v>
      </c>
      <c r="T7" s="533"/>
      <c r="U7" s="533"/>
      <c r="V7" s="532"/>
      <c r="W7" s="478" t="s">
        <v>17</v>
      </c>
      <c r="X7" s="479"/>
      <c r="Y7" s="480"/>
      <c r="Z7" s="394" t="s">
        <v>18</v>
      </c>
      <c r="AA7" s="394" t="s">
        <v>19</v>
      </c>
      <c r="AB7" s="394" t="s">
        <v>18</v>
      </c>
      <c r="AC7" s="394" t="s">
        <v>19</v>
      </c>
      <c r="AD7" s="394" t="s">
        <v>18</v>
      </c>
      <c r="AE7" s="394" t="s">
        <v>19</v>
      </c>
      <c r="AF7" s="529"/>
      <c r="AG7" s="533" t="s">
        <v>20</v>
      </c>
      <c r="AH7" s="533"/>
      <c r="AI7" s="533"/>
      <c r="AJ7" s="532"/>
      <c r="AK7" s="478" t="s">
        <v>17</v>
      </c>
      <c r="AL7" s="479"/>
      <c r="AM7" s="480"/>
      <c r="AN7" s="394" t="s">
        <v>18</v>
      </c>
      <c r="AO7" s="394" t="s">
        <v>19</v>
      </c>
      <c r="AP7" s="394" t="s">
        <v>18</v>
      </c>
      <c r="AQ7" s="394" t="s">
        <v>19</v>
      </c>
      <c r="AR7" s="394" t="s">
        <v>18</v>
      </c>
      <c r="AS7" s="394" t="s">
        <v>19</v>
      </c>
      <c r="AT7" s="529"/>
      <c r="AU7" s="533" t="s">
        <v>20</v>
      </c>
      <c r="AV7" s="533"/>
      <c r="AW7" s="533"/>
      <c r="AX7" s="532"/>
    </row>
    <row r="8" spans="1:50" ht="42.75" customHeight="1" x14ac:dyDescent="0.25">
      <c r="A8" s="594" t="s">
        <v>334</v>
      </c>
      <c r="B8" s="542" t="s">
        <v>1013</v>
      </c>
      <c r="C8" s="424" t="str">
        <f>[4]SEGUIMIENTO!C125</f>
        <v>SA-PY 1.1</v>
      </c>
      <c r="D8" s="432" t="s">
        <v>1014</v>
      </c>
      <c r="E8" s="58">
        <f>[4]SEGUIMIENTO!E125</f>
        <v>510</v>
      </c>
      <c r="F8" s="398" t="s">
        <v>1015</v>
      </c>
      <c r="G8" s="444">
        <v>7.0000000000000007E-2</v>
      </c>
      <c r="H8" s="398" t="s">
        <v>1016</v>
      </c>
      <c r="I8" s="404">
        <v>1500000</v>
      </c>
      <c r="J8" s="416">
        <v>0</v>
      </c>
      <c r="K8" s="100">
        <f>I8-J8</f>
        <v>1500000</v>
      </c>
      <c r="L8" s="100">
        <v>0</v>
      </c>
      <c r="M8" s="256">
        <f>IFERROR((L8/G8),0)</f>
        <v>0</v>
      </c>
      <c r="N8" s="100">
        <v>0</v>
      </c>
      <c r="O8" s="256">
        <f>IFERROR((N8/G8),0)</f>
        <v>0</v>
      </c>
      <c r="P8" s="100">
        <v>0</v>
      </c>
      <c r="Q8" s="256">
        <f>IFERROR((P8/G8),0)</f>
        <v>0</v>
      </c>
      <c r="R8" s="100">
        <f>L8+N8+P8</f>
        <v>0</v>
      </c>
      <c r="S8" s="411">
        <f>IFERROR((J8/I8),0)</f>
        <v>0</v>
      </c>
      <c r="T8" s="411">
        <f>L8+N8+P8</f>
        <v>0</v>
      </c>
      <c r="U8" s="411">
        <f>IFERROR((S8+T8)/2,0)</f>
        <v>0</v>
      </c>
      <c r="V8" s="21"/>
      <c r="W8" s="100">
        <v>1500000</v>
      </c>
      <c r="X8" s="100">
        <v>0</v>
      </c>
      <c r="Y8" s="100">
        <f>W8-X8</f>
        <v>1500000</v>
      </c>
      <c r="Z8" s="51">
        <v>0</v>
      </c>
      <c r="AA8" s="96">
        <f t="shared" ref="AA8:AA27" si="0">IFERROR((Z8/G8),0)</f>
        <v>0</v>
      </c>
      <c r="AB8" s="51">
        <v>0</v>
      </c>
      <c r="AC8" s="96">
        <f t="shared" ref="AC8:AC27" si="1">IFERROR((AB8/G8),0)</f>
        <v>0</v>
      </c>
      <c r="AD8" s="51">
        <v>0</v>
      </c>
      <c r="AE8" s="96">
        <f t="shared" ref="AE8:AE27" si="2">IFERROR((AD8/G8),0)</f>
        <v>0</v>
      </c>
      <c r="AF8" s="51">
        <f>Z8+AB8+AD8</f>
        <v>0</v>
      </c>
      <c r="AG8" s="290">
        <f>IFERROR((X8/W8),0)</f>
        <v>0</v>
      </c>
      <c r="AH8" s="290">
        <f>IFERROR((AF8/G8),0)</f>
        <v>0</v>
      </c>
      <c r="AI8" s="290">
        <f>(AG8+AH8)/2</f>
        <v>0</v>
      </c>
      <c r="AJ8" s="21"/>
      <c r="AK8" s="100">
        <v>1500000</v>
      </c>
      <c r="AL8" s="100">
        <v>0</v>
      </c>
      <c r="AM8" s="100">
        <f>AK8-AL8</f>
        <v>1500000</v>
      </c>
      <c r="AN8" s="51">
        <v>0</v>
      </c>
      <c r="AO8" s="96">
        <f t="shared" ref="AO8:AO27" si="3">IFERROR((AN8/U8),0)</f>
        <v>0</v>
      </c>
      <c r="AP8" s="51">
        <v>0</v>
      </c>
      <c r="AQ8" s="96">
        <f t="shared" ref="AQ8:AQ27" si="4">IFERROR((AP8/U8),0)</f>
        <v>0</v>
      </c>
      <c r="AR8" s="51">
        <v>0</v>
      </c>
      <c r="AS8" s="96">
        <f t="shared" ref="AS8:AS27" si="5">IFERROR((AR8/U8),0)</f>
        <v>0</v>
      </c>
      <c r="AT8" s="51">
        <f>AN8+AP8+AR8</f>
        <v>0</v>
      </c>
      <c r="AU8" s="428">
        <f>IFERROR((AL8/AK8),0)</f>
        <v>0</v>
      </c>
      <c r="AV8" s="428">
        <f>IFERROR((AT8/U8),0)</f>
        <v>0</v>
      </c>
      <c r="AW8" s="428">
        <f>(AU8+AV8)/2</f>
        <v>0</v>
      </c>
      <c r="AX8" s="21"/>
    </row>
    <row r="9" spans="1:50" s="28" customFormat="1" ht="69" customHeight="1" x14ac:dyDescent="0.25">
      <c r="A9" s="594"/>
      <c r="B9" s="542"/>
      <c r="C9" s="424" t="str">
        <f>[4]SEGUIMIENTO!C126</f>
        <v>SA-PY1.2</v>
      </c>
      <c r="D9" s="259" t="str">
        <f>[4]SEGUIMIENTO!D126</f>
        <v>Realización de dos eventos para la socialización del Proyecto de actualización del Manual de Convivencia Estudiantíl. Proceso Acreditación.</v>
      </c>
      <c r="E9" s="58">
        <f>[4]SEGUIMIENTO!E126</f>
        <v>510</v>
      </c>
      <c r="F9" s="425" t="s">
        <v>340</v>
      </c>
      <c r="G9" s="425">
        <v>2</v>
      </c>
      <c r="H9" s="398" t="s">
        <v>1017</v>
      </c>
      <c r="I9" s="404">
        <v>1000000</v>
      </c>
      <c r="J9" s="94">
        <v>0</v>
      </c>
      <c r="K9" s="100">
        <f t="shared" ref="K9:K27" si="6">I9-J9</f>
        <v>1000000</v>
      </c>
      <c r="L9" s="100">
        <v>0</v>
      </c>
      <c r="M9" s="256">
        <f t="shared" ref="M9:M27" si="7">IFERROR((L9/G9),0)</f>
        <v>0</v>
      </c>
      <c r="N9" s="100">
        <v>0</v>
      </c>
      <c r="O9" s="256">
        <f t="shared" ref="O9:O27" si="8">IFERROR((N9/G9),0)</f>
        <v>0</v>
      </c>
      <c r="P9" s="100">
        <v>0</v>
      </c>
      <c r="Q9" s="256">
        <f t="shared" ref="Q9:Q27" si="9">IFERROR((P9/G9),0)</f>
        <v>0</v>
      </c>
      <c r="R9" s="100">
        <f t="shared" ref="R9:R27" si="10">L9+N9+P9</f>
        <v>0</v>
      </c>
      <c r="S9" s="411">
        <f>IFERROR((J9/I9),0)</f>
        <v>0</v>
      </c>
      <c r="T9" s="411">
        <v>0.15</v>
      </c>
      <c r="U9" s="411">
        <f t="shared" ref="U9:U27" si="11">IFERROR((S9+T9)/2,0)</f>
        <v>7.4999999999999997E-2</v>
      </c>
      <c r="V9" s="29"/>
      <c r="W9" s="100">
        <v>1000000</v>
      </c>
      <c r="X9" s="100">
        <v>0</v>
      </c>
      <c r="Y9" s="100">
        <f t="shared" ref="Y9:Y27" si="12">W9-X9</f>
        <v>1000000</v>
      </c>
      <c r="Z9" s="45">
        <v>0</v>
      </c>
      <c r="AA9" s="96">
        <f t="shared" si="0"/>
        <v>0</v>
      </c>
      <c r="AB9" s="45">
        <v>0</v>
      </c>
      <c r="AC9" s="96">
        <f t="shared" si="1"/>
        <v>0</v>
      </c>
      <c r="AD9" s="45">
        <v>0</v>
      </c>
      <c r="AE9" s="96">
        <f t="shared" si="2"/>
        <v>0</v>
      </c>
      <c r="AF9" s="51">
        <f t="shared" ref="AF9:AF27" si="13">Z9+AB9+AD9</f>
        <v>0</v>
      </c>
      <c r="AG9" s="290">
        <f t="shared" ref="AG9:AG27" si="14">IFERROR((X9/W9),0)</f>
        <v>0</v>
      </c>
      <c r="AH9" s="290">
        <f t="shared" ref="AH9:AH27" si="15">IFERROR((AF9/G9),0)</f>
        <v>0</v>
      </c>
      <c r="AI9" s="290">
        <f t="shared" ref="AI9:AI27" si="16">(AG9+AH9)/2</f>
        <v>0</v>
      </c>
      <c r="AJ9" s="29"/>
      <c r="AK9" s="100">
        <v>1000000</v>
      </c>
      <c r="AL9" s="100">
        <v>0</v>
      </c>
      <c r="AM9" s="100">
        <f t="shared" ref="AM9:AM27" si="17">AK9-AL9</f>
        <v>1000000</v>
      </c>
      <c r="AN9" s="45">
        <v>0</v>
      </c>
      <c r="AO9" s="96">
        <f t="shared" si="3"/>
        <v>0</v>
      </c>
      <c r="AP9" s="45">
        <v>0</v>
      </c>
      <c r="AQ9" s="96">
        <f t="shared" si="4"/>
        <v>0</v>
      </c>
      <c r="AR9" s="45">
        <v>0</v>
      </c>
      <c r="AS9" s="96">
        <f t="shared" si="5"/>
        <v>0</v>
      </c>
      <c r="AT9" s="51">
        <f t="shared" ref="AT9:AT27" si="18">AN9+AP9+AR9</f>
        <v>0</v>
      </c>
      <c r="AU9" s="428">
        <f t="shared" ref="AU9:AU27" si="19">IFERROR((AL9/AK9),0)</f>
        <v>0</v>
      </c>
      <c r="AV9" s="428">
        <f t="shared" ref="AV9:AV27" si="20">IFERROR((AT9/U9),0)</f>
        <v>0</v>
      </c>
      <c r="AW9" s="428">
        <f t="shared" ref="AW9:AW27" si="21">(AU9+AV9)/2</f>
        <v>0</v>
      </c>
      <c r="AX9" s="29"/>
    </row>
    <row r="10" spans="1:50" ht="42.75" x14ac:dyDescent="0.25">
      <c r="A10" s="594"/>
      <c r="B10" s="543"/>
      <c r="C10" s="424" t="str">
        <f>[4]SEGUIMIENTO!C127</f>
        <v>SA-PY1.3</v>
      </c>
      <c r="D10" s="259" t="str">
        <f>[4]SEGUIMIENTO!D127</f>
        <v>Realización de dos eventos para la socialización del Proyecto del Estatuto Docente. Proceso Acreditación.</v>
      </c>
      <c r="E10" s="58">
        <f>[4]SEGUIMIENTO!E127</f>
        <v>510</v>
      </c>
      <c r="F10" s="425" t="s">
        <v>343</v>
      </c>
      <c r="G10" s="425">
        <v>2</v>
      </c>
      <c r="H10" s="425" t="s">
        <v>1017</v>
      </c>
      <c r="I10" s="404">
        <v>2000000</v>
      </c>
      <c r="J10" s="94">
        <v>0</v>
      </c>
      <c r="K10" s="100">
        <f t="shared" si="6"/>
        <v>2000000</v>
      </c>
      <c r="L10" s="100">
        <v>0</v>
      </c>
      <c r="M10" s="256">
        <f t="shared" si="7"/>
        <v>0</v>
      </c>
      <c r="N10" s="100">
        <v>0</v>
      </c>
      <c r="O10" s="256">
        <f t="shared" si="8"/>
        <v>0</v>
      </c>
      <c r="P10" s="100">
        <v>0</v>
      </c>
      <c r="Q10" s="256">
        <f t="shared" si="9"/>
        <v>0</v>
      </c>
      <c r="R10" s="100">
        <f t="shared" si="10"/>
        <v>0</v>
      </c>
      <c r="S10" s="411">
        <f>IFERROR((J10/I10),0)</f>
        <v>0</v>
      </c>
      <c r="T10" s="411">
        <f>L10+N10+P10</f>
        <v>0</v>
      </c>
      <c r="U10" s="411">
        <f t="shared" si="11"/>
        <v>0</v>
      </c>
      <c r="V10" s="7"/>
      <c r="W10" s="100">
        <v>2000000</v>
      </c>
      <c r="X10" s="100">
        <v>0</v>
      </c>
      <c r="Y10" s="100">
        <f t="shared" si="12"/>
        <v>2000000</v>
      </c>
      <c r="Z10" s="393">
        <v>0</v>
      </c>
      <c r="AA10" s="96">
        <f t="shared" si="0"/>
        <v>0</v>
      </c>
      <c r="AB10" s="393">
        <v>0</v>
      </c>
      <c r="AC10" s="96">
        <f t="shared" si="1"/>
        <v>0</v>
      </c>
      <c r="AD10" s="393">
        <v>0</v>
      </c>
      <c r="AE10" s="96">
        <f t="shared" si="2"/>
        <v>0</v>
      </c>
      <c r="AF10" s="51">
        <f t="shared" si="13"/>
        <v>0</v>
      </c>
      <c r="AG10" s="290">
        <f t="shared" si="14"/>
        <v>0</v>
      </c>
      <c r="AH10" s="290">
        <f t="shared" si="15"/>
        <v>0</v>
      </c>
      <c r="AI10" s="290">
        <f t="shared" si="16"/>
        <v>0</v>
      </c>
      <c r="AJ10" s="7"/>
      <c r="AK10" s="100">
        <v>2000000</v>
      </c>
      <c r="AL10" s="100">
        <v>0</v>
      </c>
      <c r="AM10" s="100">
        <f t="shared" si="17"/>
        <v>2000000</v>
      </c>
      <c r="AN10" s="393">
        <v>0</v>
      </c>
      <c r="AO10" s="96">
        <f t="shared" si="3"/>
        <v>0</v>
      </c>
      <c r="AP10" s="393">
        <v>0</v>
      </c>
      <c r="AQ10" s="96">
        <f t="shared" si="4"/>
        <v>0</v>
      </c>
      <c r="AR10" s="393">
        <v>0</v>
      </c>
      <c r="AS10" s="96">
        <f t="shared" si="5"/>
        <v>0</v>
      </c>
      <c r="AT10" s="51">
        <f t="shared" si="18"/>
        <v>0</v>
      </c>
      <c r="AU10" s="428">
        <f t="shared" si="19"/>
        <v>0</v>
      </c>
      <c r="AV10" s="428">
        <f t="shared" si="20"/>
        <v>0</v>
      </c>
      <c r="AW10" s="428">
        <f t="shared" si="21"/>
        <v>0</v>
      </c>
      <c r="AX10" s="7"/>
    </row>
    <row r="11" spans="1:50" ht="30" customHeight="1" x14ac:dyDescent="0.25">
      <c r="A11" s="594"/>
      <c r="B11" s="541" t="s">
        <v>335</v>
      </c>
      <c r="C11" s="424" t="str">
        <f>[4]SEGUIMIENTO!C128</f>
        <v>SA-PY2a.1</v>
      </c>
      <c r="D11" s="259" t="str">
        <f>[4]SEGUIMIENTO!D128</f>
        <v>Construcción de infraestructura física en todas las Sedes.</v>
      </c>
      <c r="E11" s="424">
        <f>[4]SEGUIMIENTO!E128</f>
        <v>111</v>
      </c>
      <c r="F11" s="425" t="s">
        <v>343</v>
      </c>
      <c r="G11" s="445">
        <v>0.06</v>
      </c>
      <c r="H11" s="425" t="s">
        <v>1018</v>
      </c>
      <c r="I11" s="5">
        <v>575338316</v>
      </c>
      <c r="J11" s="94">
        <v>0</v>
      </c>
      <c r="K11" s="100">
        <f>I11-J11</f>
        <v>575338316</v>
      </c>
      <c r="L11" s="100">
        <v>0</v>
      </c>
      <c r="M11" s="256">
        <f t="shared" si="7"/>
        <v>0</v>
      </c>
      <c r="N11" s="100">
        <v>0</v>
      </c>
      <c r="O11" s="256">
        <f t="shared" si="8"/>
        <v>0</v>
      </c>
      <c r="P11" s="100">
        <v>0</v>
      </c>
      <c r="Q11" s="256">
        <f t="shared" si="9"/>
        <v>0</v>
      </c>
      <c r="R11" s="100">
        <f t="shared" si="10"/>
        <v>0</v>
      </c>
      <c r="S11" s="411">
        <v>0.18490000000000001</v>
      </c>
      <c r="T11" s="411">
        <f>L11+N11+P11</f>
        <v>0</v>
      </c>
      <c r="U11" s="411">
        <f t="shared" si="11"/>
        <v>9.2450000000000004E-2</v>
      </c>
      <c r="V11" s="7"/>
      <c r="W11" s="100">
        <v>575338316</v>
      </c>
      <c r="X11" s="100">
        <v>0</v>
      </c>
      <c r="Y11" s="100">
        <f>W11-X11</f>
        <v>575338316</v>
      </c>
      <c r="Z11" s="393">
        <v>0</v>
      </c>
      <c r="AA11" s="96">
        <f t="shared" si="0"/>
        <v>0</v>
      </c>
      <c r="AB11" s="393">
        <v>0</v>
      </c>
      <c r="AC11" s="96">
        <f t="shared" si="1"/>
        <v>0</v>
      </c>
      <c r="AD11" s="393">
        <v>0</v>
      </c>
      <c r="AE11" s="96">
        <f t="shared" si="2"/>
        <v>0</v>
      </c>
      <c r="AF11" s="51">
        <f t="shared" si="13"/>
        <v>0</v>
      </c>
      <c r="AG11" s="290">
        <f t="shared" si="14"/>
        <v>0</v>
      </c>
      <c r="AH11" s="290">
        <f t="shared" si="15"/>
        <v>0</v>
      </c>
      <c r="AI11" s="290">
        <f t="shared" si="16"/>
        <v>0</v>
      </c>
      <c r="AJ11" s="7"/>
      <c r="AK11" s="100">
        <v>575338316</v>
      </c>
      <c r="AL11" s="100">
        <v>141978128</v>
      </c>
      <c r="AM11" s="100">
        <f>AK11-AL11</f>
        <v>433360188</v>
      </c>
      <c r="AN11" s="446">
        <v>0.25</v>
      </c>
      <c r="AO11" s="96">
        <f>IFERROR((AN11/U11),0)</f>
        <v>2.7041644131963221</v>
      </c>
      <c r="AP11" s="393">
        <v>0</v>
      </c>
      <c r="AQ11" s="96">
        <f t="shared" si="4"/>
        <v>0</v>
      </c>
      <c r="AR11" s="393">
        <v>0</v>
      </c>
      <c r="AS11" s="96">
        <f t="shared" si="5"/>
        <v>0</v>
      </c>
      <c r="AT11" s="447">
        <f>AN11+AP11+AR11</f>
        <v>0.25</v>
      </c>
      <c r="AU11" s="428">
        <f t="shared" si="19"/>
        <v>0.24677328808394539</v>
      </c>
      <c r="AV11" s="428">
        <f t="shared" si="20"/>
        <v>2.7041644131963221</v>
      </c>
      <c r="AW11" s="428">
        <f t="shared" si="21"/>
        <v>1.4754688506401337</v>
      </c>
      <c r="AX11" s="48" t="s">
        <v>1019</v>
      </c>
    </row>
    <row r="12" spans="1:50" ht="167.25" customHeight="1" x14ac:dyDescent="0.25">
      <c r="A12" s="594"/>
      <c r="B12" s="542"/>
      <c r="C12" s="424" t="str">
        <f>[4]SEGUIMIENTO!C129</f>
        <v>SA-PY2a.2</v>
      </c>
      <c r="D12" s="259" t="str">
        <f>[4]SEGUIMIENTO!D129</f>
        <v>Adecuaciones, mantenimientos y mejoras en infraestructura de todas las sedes.</v>
      </c>
      <c r="E12" s="424">
        <f>[4]SEGUIMIENTO!E129</f>
        <v>111</v>
      </c>
      <c r="F12" s="425" t="s">
        <v>343</v>
      </c>
      <c r="G12" s="425">
        <v>3300</v>
      </c>
      <c r="H12" s="425" t="s">
        <v>1018</v>
      </c>
      <c r="I12" s="5">
        <v>1683063108</v>
      </c>
      <c r="J12" s="94">
        <v>193491810</v>
      </c>
      <c r="K12" s="100">
        <f t="shared" si="6"/>
        <v>1489571298</v>
      </c>
      <c r="L12" s="100">
        <v>325</v>
      </c>
      <c r="M12" s="256">
        <f>IFERROR((L12/G12),0)</f>
        <v>9.8484848484848481E-2</v>
      </c>
      <c r="N12" s="100">
        <v>127</v>
      </c>
      <c r="O12" s="256">
        <f t="shared" si="8"/>
        <v>3.8484848484848483E-2</v>
      </c>
      <c r="P12" s="100">
        <v>0</v>
      </c>
      <c r="Q12" s="256">
        <f t="shared" si="9"/>
        <v>0</v>
      </c>
      <c r="R12" s="100">
        <f t="shared" si="10"/>
        <v>452</v>
      </c>
      <c r="S12" s="411">
        <f>IFERROR((J12/I12),0)</f>
        <v>0.11496408487613288</v>
      </c>
      <c r="T12" s="411">
        <v>0.05</v>
      </c>
      <c r="U12" s="411">
        <f t="shared" si="11"/>
        <v>8.248204243806645E-2</v>
      </c>
      <c r="V12" s="48" t="s">
        <v>1020</v>
      </c>
      <c r="W12" s="100">
        <v>1683063108</v>
      </c>
      <c r="X12" s="94">
        <f>404505583+J12</f>
        <v>597997393</v>
      </c>
      <c r="Y12" s="100">
        <f>W12-X12</f>
        <v>1085065715</v>
      </c>
      <c r="Z12" s="393">
        <v>100</v>
      </c>
      <c r="AA12" s="96">
        <f t="shared" si="0"/>
        <v>3.0303030303030304E-2</v>
      </c>
      <c r="AB12" s="393">
        <v>320</v>
      </c>
      <c r="AC12" s="96">
        <f t="shared" si="1"/>
        <v>9.696969696969697E-2</v>
      </c>
      <c r="AD12" s="393">
        <v>255</v>
      </c>
      <c r="AE12" s="96">
        <f t="shared" si="2"/>
        <v>7.7272727272727271E-2</v>
      </c>
      <c r="AF12" s="51">
        <f>Z12+AB12+AD12</f>
        <v>675</v>
      </c>
      <c r="AG12" s="290">
        <f t="shared" si="14"/>
        <v>0.35530301279706977</v>
      </c>
      <c r="AH12" s="290">
        <f>IFERROR((AF12/G12),0)</f>
        <v>0.20454545454545456</v>
      </c>
      <c r="AI12" s="290">
        <f t="shared" si="16"/>
        <v>0.27992423367126218</v>
      </c>
      <c r="AJ12" s="48" t="s">
        <v>1021</v>
      </c>
      <c r="AK12" s="100">
        <v>1419629011</v>
      </c>
      <c r="AL12" s="94">
        <f>174672352+X12</f>
        <v>772669745</v>
      </c>
      <c r="AM12" s="100">
        <f>AK12-AL12</f>
        <v>646959266</v>
      </c>
      <c r="AN12" s="393">
        <v>516</v>
      </c>
      <c r="AO12" s="376">
        <f>IFERROR((AN12/U12),0)</f>
        <v>6255.9071617006884</v>
      </c>
      <c r="AP12" s="393">
        <v>325</v>
      </c>
      <c r="AQ12" s="376">
        <f t="shared" si="4"/>
        <v>3940.2516037843484</v>
      </c>
      <c r="AR12" s="393">
        <v>0</v>
      </c>
      <c r="AS12" s="96">
        <f t="shared" si="5"/>
        <v>0</v>
      </c>
      <c r="AT12" s="51">
        <f t="shared" si="18"/>
        <v>841</v>
      </c>
      <c r="AU12" s="428">
        <f t="shared" si="19"/>
        <v>0.54427582066368463</v>
      </c>
      <c r="AV12" s="428">
        <f t="shared" si="20"/>
        <v>10196.158765485037</v>
      </c>
      <c r="AW12" s="428">
        <f t="shared" si="21"/>
        <v>5098.3515206528509</v>
      </c>
      <c r="AX12" s="448" t="s">
        <v>1022</v>
      </c>
    </row>
    <row r="13" spans="1:50" ht="24" x14ac:dyDescent="0.25">
      <c r="A13" s="594"/>
      <c r="B13" s="542"/>
      <c r="C13" s="424" t="str">
        <f>[4]SEGUIMIENTO!C130</f>
        <v>SA-PY2a.3</v>
      </c>
      <c r="D13" s="259" t="str">
        <f>[4]SEGUIMIENTO!D130</f>
        <v>Avalúos, estudios y diseños de obras civiles varias.</v>
      </c>
      <c r="E13" s="424">
        <f>[4]SEGUIMIENTO!E130</f>
        <v>111</v>
      </c>
      <c r="F13" s="425" t="s">
        <v>347</v>
      </c>
      <c r="G13" s="449" t="s">
        <v>1023</v>
      </c>
      <c r="H13" s="449" t="s">
        <v>1023</v>
      </c>
      <c r="I13" s="450">
        <f>[4]SEGUIMIENTO!I130</f>
        <v>0</v>
      </c>
      <c r="J13" s="451"/>
      <c r="K13" s="452">
        <f t="shared" si="6"/>
        <v>0</v>
      </c>
      <c r="L13" s="452"/>
      <c r="M13" s="453">
        <f t="shared" si="7"/>
        <v>0</v>
      </c>
      <c r="N13" s="452"/>
      <c r="O13" s="453">
        <f t="shared" si="8"/>
        <v>0</v>
      </c>
      <c r="P13" s="452"/>
      <c r="Q13" s="453">
        <f t="shared" si="9"/>
        <v>0</v>
      </c>
      <c r="R13" s="452">
        <f t="shared" si="10"/>
        <v>0</v>
      </c>
      <c r="S13" s="411" t="s">
        <v>1023</v>
      </c>
      <c r="T13" s="411" t="s">
        <v>1023</v>
      </c>
      <c r="U13" s="411" t="s">
        <v>1023</v>
      </c>
      <c r="V13" s="25"/>
      <c r="W13" s="452">
        <v>0</v>
      </c>
      <c r="X13" s="450"/>
      <c r="Y13" s="452">
        <f t="shared" si="12"/>
        <v>0</v>
      </c>
      <c r="Z13" s="454"/>
      <c r="AA13" s="455">
        <f t="shared" si="0"/>
        <v>0</v>
      </c>
      <c r="AB13" s="454"/>
      <c r="AC13" s="455">
        <f t="shared" si="1"/>
        <v>0</v>
      </c>
      <c r="AD13" s="454"/>
      <c r="AE13" s="455">
        <f t="shared" si="2"/>
        <v>0</v>
      </c>
      <c r="AF13" s="456">
        <f t="shared" si="13"/>
        <v>0</v>
      </c>
      <c r="AG13" s="290" t="s">
        <v>1023</v>
      </c>
      <c r="AH13" s="290" t="s">
        <v>1023</v>
      </c>
      <c r="AI13" s="290" t="s">
        <v>1023</v>
      </c>
      <c r="AJ13" s="25"/>
      <c r="AK13" s="452">
        <v>0</v>
      </c>
      <c r="AL13" s="450"/>
      <c r="AM13" s="452">
        <f t="shared" si="17"/>
        <v>0</v>
      </c>
      <c r="AN13" s="454"/>
      <c r="AO13" s="455">
        <f t="shared" si="3"/>
        <v>0</v>
      </c>
      <c r="AP13" s="454"/>
      <c r="AQ13" s="455">
        <f t="shared" si="4"/>
        <v>0</v>
      </c>
      <c r="AR13" s="454"/>
      <c r="AS13" s="455">
        <f t="shared" si="5"/>
        <v>0</v>
      </c>
      <c r="AT13" s="456">
        <f t="shared" si="18"/>
        <v>0</v>
      </c>
      <c r="AU13" s="428" t="s">
        <v>1023</v>
      </c>
      <c r="AV13" s="428" t="s">
        <v>1023</v>
      </c>
      <c r="AW13" s="428" t="s">
        <v>1023</v>
      </c>
      <c r="AX13" s="25"/>
    </row>
    <row r="14" spans="1:50" ht="79.5" customHeight="1" x14ac:dyDescent="0.25">
      <c r="A14" s="594"/>
      <c r="B14" s="541" t="s">
        <v>344</v>
      </c>
      <c r="C14" s="424" t="str">
        <f>[4]SEGUIMIENTO!C131</f>
        <v>SA-PY2b.1</v>
      </c>
      <c r="D14" s="259" t="str">
        <f>[4]SEGUIMIENTO!D131</f>
        <v>Dotación de equipos, accesorios, reactivos e insumos para  laboratorios de todas las Sedes.</v>
      </c>
      <c r="E14" s="424">
        <f>[4]SEGUIMIENTO!E131</f>
        <v>211</v>
      </c>
      <c r="F14" s="425" t="s">
        <v>351</v>
      </c>
      <c r="G14" s="425">
        <v>1625</v>
      </c>
      <c r="H14" s="397" t="s">
        <v>348</v>
      </c>
      <c r="I14" s="5">
        <v>1625954405</v>
      </c>
      <c r="J14" s="5">
        <v>635656579</v>
      </c>
      <c r="K14" s="100">
        <f>I14-J14</f>
        <v>990297826</v>
      </c>
      <c r="L14" s="100">
        <v>0</v>
      </c>
      <c r="M14" s="256">
        <f t="shared" si="7"/>
        <v>0</v>
      </c>
      <c r="N14" s="100">
        <v>562248216</v>
      </c>
      <c r="O14" s="457">
        <f>IFERROR((N14/G14),0)</f>
        <v>345998.90215384617</v>
      </c>
      <c r="P14" s="100">
        <v>73408363</v>
      </c>
      <c r="Q14" s="256">
        <f t="shared" si="9"/>
        <v>45174.377230769234</v>
      </c>
      <c r="R14" s="100">
        <f t="shared" si="10"/>
        <v>635656579</v>
      </c>
      <c r="S14" s="411">
        <v>5.0599999999999999E-2</v>
      </c>
      <c r="T14" s="428">
        <f>L14+N14+P14</f>
        <v>635656579</v>
      </c>
      <c r="U14" s="428">
        <f>IFERROR((S14+T14)/2,0)</f>
        <v>317828289.52530003</v>
      </c>
      <c r="V14" s="429" t="s">
        <v>1024</v>
      </c>
      <c r="W14" s="100">
        <v>1625954405</v>
      </c>
      <c r="X14" s="100">
        <f>7736670+J14</f>
        <v>643393249</v>
      </c>
      <c r="Y14" s="100">
        <f t="shared" si="12"/>
        <v>982561156</v>
      </c>
      <c r="Z14" s="393">
        <v>0</v>
      </c>
      <c r="AA14" s="96">
        <f t="shared" si="0"/>
        <v>0</v>
      </c>
      <c r="AB14" s="393">
        <v>7736670</v>
      </c>
      <c r="AC14" s="376">
        <f t="shared" si="1"/>
        <v>4761.0276923076926</v>
      </c>
      <c r="AD14" s="393">
        <v>0</v>
      </c>
      <c r="AE14" s="96">
        <f t="shared" si="2"/>
        <v>0</v>
      </c>
      <c r="AF14" s="51">
        <f t="shared" si="13"/>
        <v>7736670</v>
      </c>
      <c r="AG14" s="290">
        <f t="shared" si="14"/>
        <v>0.39570190100133834</v>
      </c>
      <c r="AH14" s="290">
        <f t="shared" si="15"/>
        <v>4761.0276923076926</v>
      </c>
      <c r="AI14" s="290">
        <f t="shared" si="16"/>
        <v>2380.711697104347</v>
      </c>
      <c r="AJ14" s="429" t="s">
        <v>1025</v>
      </c>
      <c r="AK14" s="100">
        <v>1625954405</v>
      </c>
      <c r="AL14" s="100">
        <f>582738124+X14</f>
        <v>1226131373</v>
      </c>
      <c r="AM14" s="100">
        <f t="shared" si="17"/>
        <v>399823032</v>
      </c>
      <c r="AN14" s="393">
        <v>515566638</v>
      </c>
      <c r="AO14" s="96">
        <f t="shared" si="3"/>
        <v>1.6221546507708196</v>
      </c>
      <c r="AP14" s="393">
        <v>67171486</v>
      </c>
      <c r="AQ14" s="96">
        <f t="shared" si="4"/>
        <v>0.21134520813211927</v>
      </c>
      <c r="AR14" s="393">
        <v>0</v>
      </c>
      <c r="AS14" s="96">
        <f t="shared" si="5"/>
        <v>0</v>
      </c>
      <c r="AT14" s="51">
        <f t="shared" si="18"/>
        <v>582738124</v>
      </c>
      <c r="AU14" s="428">
        <f t="shared" si="19"/>
        <v>0.75409948103680069</v>
      </c>
      <c r="AV14" s="428">
        <f t="shared" si="20"/>
        <v>1.8334998589029388</v>
      </c>
      <c r="AW14" s="428">
        <f t="shared" si="21"/>
        <v>1.2937996699698697</v>
      </c>
      <c r="AX14" s="458" t="s">
        <v>1026</v>
      </c>
    </row>
    <row r="15" spans="1:50" s="28" customFormat="1" ht="90.75" customHeight="1" x14ac:dyDescent="0.25">
      <c r="A15" s="594"/>
      <c r="B15" s="542"/>
      <c r="C15" s="424" t="str">
        <f>[4]SEGUIMIENTO!C132</f>
        <v>SA-PY2b.2</v>
      </c>
      <c r="D15" s="259" t="str">
        <f>[4]SEGUIMIENTO!D132</f>
        <v>Dotación de muebles y equipos de oficinas para todas las Sedes.</v>
      </c>
      <c r="E15" s="424">
        <f>[4]SEGUIMIENTO!E132</f>
        <v>211</v>
      </c>
      <c r="F15" s="425" t="s">
        <v>354</v>
      </c>
      <c r="G15" s="425">
        <v>721</v>
      </c>
      <c r="H15" s="425" t="s">
        <v>348</v>
      </c>
      <c r="I15" s="5">
        <v>721004004</v>
      </c>
      <c r="J15" s="5">
        <v>4400000</v>
      </c>
      <c r="K15" s="100">
        <f t="shared" si="6"/>
        <v>716604004</v>
      </c>
      <c r="L15" s="100">
        <v>4400000</v>
      </c>
      <c r="M15" s="256">
        <f t="shared" si="7"/>
        <v>6102.6352288488215</v>
      </c>
      <c r="N15" s="100">
        <v>0</v>
      </c>
      <c r="O15" s="256">
        <f t="shared" si="8"/>
        <v>0</v>
      </c>
      <c r="P15" s="100">
        <v>0</v>
      </c>
      <c r="Q15" s="256">
        <f t="shared" si="9"/>
        <v>0</v>
      </c>
      <c r="R15" s="100">
        <f t="shared" si="10"/>
        <v>4400000</v>
      </c>
      <c r="S15" s="411">
        <f>IFERROR((J15/I15),0)</f>
        <v>6.1026013386743967E-3</v>
      </c>
      <c r="T15" s="411">
        <f>L15+N15+P15</f>
        <v>4400000</v>
      </c>
      <c r="U15" s="411">
        <f t="shared" si="11"/>
        <v>2200000.0030513005</v>
      </c>
      <c r="V15" s="459" t="s">
        <v>1027</v>
      </c>
      <c r="W15" s="100">
        <v>721004004</v>
      </c>
      <c r="X15" s="94">
        <f>353502684+J15</f>
        <v>357902684</v>
      </c>
      <c r="Y15" s="100">
        <f t="shared" si="12"/>
        <v>363101320</v>
      </c>
      <c r="Z15" s="45">
        <v>277897368</v>
      </c>
      <c r="AA15" s="376">
        <f t="shared" si="0"/>
        <v>385433.24271844659</v>
      </c>
      <c r="AB15" s="45">
        <v>8835298</v>
      </c>
      <c r="AC15" s="376">
        <f t="shared" si="1"/>
        <v>12254.227461858531</v>
      </c>
      <c r="AD15" s="45">
        <v>66770018</v>
      </c>
      <c r="AE15" s="376">
        <f t="shared" si="2"/>
        <v>92607.514563106801</v>
      </c>
      <c r="AF15" s="51">
        <f t="shared" si="13"/>
        <v>353502684</v>
      </c>
      <c r="AG15" s="290">
        <f t="shared" si="14"/>
        <v>0.4963948632939908</v>
      </c>
      <c r="AH15" s="290">
        <f>IFERROR((AF15/G15),0)</f>
        <v>490294.98474341194</v>
      </c>
      <c r="AI15" s="290">
        <f t="shared" si="16"/>
        <v>245147.74056913762</v>
      </c>
      <c r="AJ15" s="460" t="s">
        <v>1028</v>
      </c>
      <c r="AK15" s="100">
        <v>821004004</v>
      </c>
      <c r="AL15" s="94">
        <f>181796675+X15</f>
        <v>539699359</v>
      </c>
      <c r="AM15" s="100">
        <f>AK15-AL15</f>
        <v>281304645</v>
      </c>
      <c r="AN15" s="45">
        <v>157720110</v>
      </c>
      <c r="AO15" s="96">
        <f>IFERROR((AN15/U15),0)</f>
        <v>71.690958991476975</v>
      </c>
      <c r="AP15" s="45">
        <v>24076565</v>
      </c>
      <c r="AQ15" s="96">
        <f t="shared" si="4"/>
        <v>10.943893166639496</v>
      </c>
      <c r="AR15" s="45">
        <v>0</v>
      </c>
      <c r="AS15" s="96">
        <f t="shared" si="5"/>
        <v>0</v>
      </c>
      <c r="AT15" s="51">
        <f t="shared" si="18"/>
        <v>181796675</v>
      </c>
      <c r="AU15" s="428">
        <f t="shared" si="19"/>
        <v>0.65736507540832889</v>
      </c>
      <c r="AV15" s="428">
        <f>IFERROR((AT15/U15),0)</f>
        <v>82.634852158116473</v>
      </c>
      <c r="AW15" s="428">
        <f t="shared" si="21"/>
        <v>41.646108616762405</v>
      </c>
      <c r="AX15" s="461" t="s">
        <v>1029</v>
      </c>
    </row>
    <row r="16" spans="1:50" ht="90" x14ac:dyDescent="0.25">
      <c r="A16" s="594"/>
      <c r="B16" s="542"/>
      <c r="C16" s="424" t="str">
        <f>[4]SEGUIMIENTO!C133</f>
        <v>SA-PY2b.3</v>
      </c>
      <c r="D16" s="259" t="str">
        <f>[4]SEGUIMIENTO!D133</f>
        <v>Adquisición bibliografía.</v>
      </c>
      <c r="E16" s="424">
        <f>[4]SEGUIMIENTO!E133</f>
        <v>211</v>
      </c>
      <c r="F16" s="425" t="s">
        <v>357</v>
      </c>
      <c r="G16" s="425">
        <v>322</v>
      </c>
      <c r="H16" s="425" t="s">
        <v>348</v>
      </c>
      <c r="I16" s="5">
        <v>322536487</v>
      </c>
      <c r="J16" s="94">
        <v>0</v>
      </c>
      <c r="K16" s="100">
        <f t="shared" si="6"/>
        <v>322536487</v>
      </c>
      <c r="L16" s="100">
        <v>0</v>
      </c>
      <c r="M16" s="256">
        <f t="shared" si="7"/>
        <v>0</v>
      </c>
      <c r="N16" s="100">
        <v>0</v>
      </c>
      <c r="O16" s="256">
        <f t="shared" si="8"/>
        <v>0</v>
      </c>
      <c r="P16" s="100">
        <v>0</v>
      </c>
      <c r="Q16" s="256">
        <f t="shared" si="9"/>
        <v>0</v>
      </c>
      <c r="R16" s="100">
        <f t="shared" si="10"/>
        <v>0</v>
      </c>
      <c r="S16" s="411">
        <v>0</v>
      </c>
      <c r="T16" s="411">
        <f>L16+N16+P16</f>
        <v>0</v>
      </c>
      <c r="U16" s="411">
        <f t="shared" si="11"/>
        <v>0</v>
      </c>
      <c r="V16" s="25"/>
      <c r="W16" s="100">
        <v>322536487</v>
      </c>
      <c r="X16" s="94">
        <v>21553929</v>
      </c>
      <c r="Y16" s="100">
        <f t="shared" si="12"/>
        <v>300982558</v>
      </c>
      <c r="Z16" s="393">
        <v>9883429</v>
      </c>
      <c r="AA16" s="376">
        <f>IFERROR((Z16/G16),0)</f>
        <v>30693.878881987577</v>
      </c>
      <c r="AB16" s="393">
        <v>11416500</v>
      </c>
      <c r="AC16" s="376">
        <f t="shared" si="1"/>
        <v>35454.968944099382</v>
      </c>
      <c r="AD16" s="393">
        <v>254000</v>
      </c>
      <c r="AE16" s="96">
        <f t="shared" si="2"/>
        <v>788.81987577639757</v>
      </c>
      <c r="AF16" s="51">
        <f t="shared" si="13"/>
        <v>21553929</v>
      </c>
      <c r="AG16" s="290">
        <f t="shared" si="14"/>
        <v>6.6826327776057168E-2</v>
      </c>
      <c r="AH16" s="290">
        <f t="shared" si="15"/>
        <v>66937.667701863349</v>
      </c>
      <c r="AI16" s="290">
        <f t="shared" si="16"/>
        <v>33468.867264095563</v>
      </c>
      <c r="AJ16" s="8" t="s">
        <v>1030</v>
      </c>
      <c r="AK16" s="100">
        <v>322536487</v>
      </c>
      <c r="AL16" s="94">
        <f>49814630+X16</f>
        <v>71368559</v>
      </c>
      <c r="AM16" s="100">
        <f>AK16-AL16</f>
        <v>251167928</v>
      </c>
      <c r="AN16" s="54">
        <v>10747550</v>
      </c>
      <c r="AO16" s="96">
        <f>IFERROR((AN16/U16),0)</f>
        <v>0</v>
      </c>
      <c r="AP16" s="54">
        <v>39067080</v>
      </c>
      <c r="AQ16" s="96">
        <f t="shared" si="4"/>
        <v>0</v>
      </c>
      <c r="AR16" s="393">
        <v>0</v>
      </c>
      <c r="AS16" s="96">
        <f t="shared" si="5"/>
        <v>0</v>
      </c>
      <c r="AT16" s="51">
        <f t="shared" si="18"/>
        <v>49814630</v>
      </c>
      <c r="AU16" s="428">
        <f t="shared" si="19"/>
        <v>0.22127282300312273</v>
      </c>
      <c r="AV16" s="428">
        <f>IFERROR((AT16/U16),0)</f>
        <v>0</v>
      </c>
      <c r="AW16" s="428">
        <f t="shared" si="21"/>
        <v>0.11063641150156137</v>
      </c>
      <c r="AX16" s="25" t="s">
        <v>1031</v>
      </c>
    </row>
    <row r="17" spans="1:50" ht="36" customHeight="1" x14ac:dyDescent="0.25">
      <c r="A17" s="594"/>
      <c r="B17" s="542"/>
      <c r="C17" s="424" t="str">
        <f>[4]SEGUIMIENTO!C134</f>
        <v>SA-PY2b.4</v>
      </c>
      <c r="D17" s="259" t="str">
        <f>[4]SEGUIMIENTO!D134</f>
        <v xml:space="preserve"> Mantenimiento de Equipos de Laboratorio,  Muebles, accesorios y equipos de Oficina de todas las sedes.</v>
      </c>
      <c r="E17" s="424">
        <f>[4]SEGUIMIENTO!E134</f>
        <v>211</v>
      </c>
      <c r="F17" s="425" t="s">
        <v>360</v>
      </c>
      <c r="G17" s="425">
        <v>235</v>
      </c>
      <c r="H17" s="425" t="s">
        <v>348</v>
      </c>
      <c r="I17" s="5">
        <v>235038727</v>
      </c>
      <c r="J17" s="5">
        <v>9735530</v>
      </c>
      <c r="K17" s="100">
        <f>I17-J17</f>
        <v>225303197</v>
      </c>
      <c r="L17" s="100">
        <v>280000</v>
      </c>
      <c r="M17" s="256">
        <f t="shared" si="7"/>
        <v>1191.4893617021276</v>
      </c>
      <c r="N17" s="100">
        <v>9455530</v>
      </c>
      <c r="O17" s="256">
        <f t="shared" si="8"/>
        <v>40236.297872340423</v>
      </c>
      <c r="P17" s="100">
        <v>0</v>
      </c>
      <c r="Q17" s="256">
        <f t="shared" si="9"/>
        <v>0</v>
      </c>
      <c r="R17" s="100">
        <f t="shared" si="10"/>
        <v>9735530</v>
      </c>
      <c r="S17" s="411">
        <v>4.0800000000000003E-2</v>
      </c>
      <c r="T17" s="411">
        <f>L17+N17+P17</f>
        <v>9735530</v>
      </c>
      <c r="U17" s="411">
        <f t="shared" si="11"/>
        <v>4867765.0203999998</v>
      </c>
      <c r="V17" s="8" t="s">
        <v>1032</v>
      </c>
      <c r="W17" s="100">
        <v>239038727</v>
      </c>
      <c r="X17" s="94">
        <f>43802587+J17</f>
        <v>53538117</v>
      </c>
      <c r="Y17" s="100">
        <f t="shared" si="12"/>
        <v>185500610</v>
      </c>
      <c r="Z17" s="393">
        <v>0</v>
      </c>
      <c r="AA17" s="96">
        <f t="shared" si="0"/>
        <v>0</v>
      </c>
      <c r="AB17" s="393">
        <v>40000000</v>
      </c>
      <c r="AC17" s="376">
        <f t="shared" si="1"/>
        <v>170212.7659574468</v>
      </c>
      <c r="AD17" s="393">
        <v>3802587</v>
      </c>
      <c r="AE17" s="376">
        <f t="shared" si="2"/>
        <v>16181.221276595745</v>
      </c>
      <c r="AF17" s="51">
        <f t="shared" si="13"/>
        <v>43802587</v>
      </c>
      <c r="AG17" s="290">
        <f t="shared" si="14"/>
        <v>0.22397256575082078</v>
      </c>
      <c r="AH17" s="290">
        <f t="shared" si="15"/>
        <v>186393.98723404255</v>
      </c>
      <c r="AI17" s="290">
        <f t="shared" si="16"/>
        <v>93197.105603304153</v>
      </c>
      <c r="AJ17" s="25" t="s">
        <v>1033</v>
      </c>
      <c r="AK17" s="100">
        <v>239038727</v>
      </c>
      <c r="AL17" s="94">
        <f>7326990+X17</f>
        <v>60865107</v>
      </c>
      <c r="AM17" s="100">
        <f t="shared" si="17"/>
        <v>178173620</v>
      </c>
      <c r="AN17" s="393">
        <v>7326990</v>
      </c>
      <c r="AO17" s="96">
        <f t="shared" si="3"/>
        <v>1.5052061817474331</v>
      </c>
      <c r="AP17" s="393">
        <v>0</v>
      </c>
      <c r="AQ17" s="96">
        <f t="shared" si="4"/>
        <v>0</v>
      </c>
      <c r="AR17" s="393">
        <v>0</v>
      </c>
      <c r="AS17" s="96">
        <f t="shared" si="5"/>
        <v>0</v>
      </c>
      <c r="AT17" s="51">
        <f t="shared" si="18"/>
        <v>7326990</v>
      </c>
      <c r="AU17" s="428">
        <f t="shared" si="19"/>
        <v>0.25462446091423502</v>
      </c>
      <c r="AV17" s="428">
        <f t="shared" si="20"/>
        <v>1.5052061817474331</v>
      </c>
      <c r="AW17" s="428">
        <f t="shared" si="21"/>
        <v>0.87991532133083405</v>
      </c>
      <c r="AX17" s="25" t="s">
        <v>1034</v>
      </c>
    </row>
    <row r="18" spans="1:50" ht="36" x14ac:dyDescent="0.25">
      <c r="A18" s="594"/>
      <c r="B18" s="542"/>
      <c r="C18" s="424" t="str">
        <f>[4]SEGUIMIENTO!C135</f>
        <v>SA-PY2b.5</v>
      </c>
      <c r="D18" s="259" t="str">
        <f>[4]SEGUIMIENTO!D135</f>
        <v>Dotación de elementos de aseo y cafetería.</v>
      </c>
      <c r="E18" s="424">
        <f>[4]SEGUIMIENTO!E135</f>
        <v>211</v>
      </c>
      <c r="F18" s="425" t="s">
        <v>363</v>
      </c>
      <c r="G18" s="425">
        <v>100</v>
      </c>
      <c r="H18" s="425" t="s">
        <v>1035</v>
      </c>
      <c r="I18" s="5">
        <v>8765084</v>
      </c>
      <c r="J18" s="5">
        <v>2000000</v>
      </c>
      <c r="K18" s="100">
        <f t="shared" si="6"/>
        <v>6765084</v>
      </c>
      <c r="L18" s="100">
        <v>24</v>
      </c>
      <c r="M18" s="256">
        <f t="shared" si="7"/>
        <v>0.24</v>
      </c>
      <c r="N18" s="100">
        <v>0</v>
      </c>
      <c r="O18" s="256">
        <f t="shared" si="8"/>
        <v>0</v>
      </c>
      <c r="P18" s="100">
        <v>0</v>
      </c>
      <c r="Q18" s="256">
        <f t="shared" si="9"/>
        <v>0</v>
      </c>
      <c r="R18" s="100">
        <f t="shared" si="10"/>
        <v>24</v>
      </c>
      <c r="S18" s="411">
        <v>0.34100000000000003</v>
      </c>
      <c r="T18" s="411">
        <v>0.3</v>
      </c>
      <c r="U18" s="411">
        <f t="shared" si="11"/>
        <v>0.32050000000000001</v>
      </c>
      <c r="V18" s="25" t="s">
        <v>1036</v>
      </c>
      <c r="W18" s="100">
        <v>8765084</v>
      </c>
      <c r="X18" s="94">
        <f>4399249+J18</f>
        <v>6399249</v>
      </c>
      <c r="Y18" s="100">
        <f t="shared" si="12"/>
        <v>2365835</v>
      </c>
      <c r="Z18" s="393">
        <v>0</v>
      </c>
      <c r="AA18" s="96">
        <f t="shared" si="0"/>
        <v>0</v>
      </c>
      <c r="AB18" s="393">
        <v>0</v>
      </c>
      <c r="AC18" s="96">
        <f t="shared" si="1"/>
        <v>0</v>
      </c>
      <c r="AD18" s="393">
        <v>4399249</v>
      </c>
      <c r="AE18" s="96">
        <f t="shared" si="2"/>
        <v>43992.49</v>
      </c>
      <c r="AF18" s="51">
        <f t="shared" si="13"/>
        <v>4399249</v>
      </c>
      <c r="AG18" s="290">
        <f t="shared" si="14"/>
        <v>0.7300841612014215</v>
      </c>
      <c r="AH18" s="290">
        <f t="shared" si="15"/>
        <v>43992.49</v>
      </c>
      <c r="AI18" s="290">
        <f t="shared" si="16"/>
        <v>21996.6100420806</v>
      </c>
      <c r="AJ18" s="25" t="s">
        <v>1037</v>
      </c>
      <c r="AK18" s="100">
        <v>8765084</v>
      </c>
      <c r="AL18" s="94">
        <f>1865085+X18</f>
        <v>8264334</v>
      </c>
      <c r="AM18" s="100">
        <f t="shared" si="17"/>
        <v>500750</v>
      </c>
      <c r="AN18" s="393">
        <v>0</v>
      </c>
      <c r="AO18" s="96">
        <f t="shared" si="3"/>
        <v>0</v>
      </c>
      <c r="AP18" s="393">
        <v>1865085</v>
      </c>
      <c r="AQ18" s="376">
        <f t="shared" si="4"/>
        <v>5819297.9719188763</v>
      </c>
      <c r="AR18" s="393">
        <v>0</v>
      </c>
      <c r="AS18" s="96">
        <f t="shared" si="5"/>
        <v>0</v>
      </c>
      <c r="AT18" s="51">
        <f t="shared" si="18"/>
        <v>1865085</v>
      </c>
      <c r="AU18" s="428">
        <f t="shared" si="19"/>
        <v>0.94286991431000544</v>
      </c>
      <c r="AV18" s="428">
        <f t="shared" si="20"/>
        <v>5819297.9719188763</v>
      </c>
      <c r="AW18" s="428">
        <f t="shared" si="21"/>
        <v>2909649.4573943955</v>
      </c>
      <c r="AX18" s="25" t="s">
        <v>1037</v>
      </c>
    </row>
    <row r="19" spans="1:50" ht="135" x14ac:dyDescent="0.25">
      <c r="A19" s="594"/>
      <c r="B19" s="542"/>
      <c r="C19" s="424" t="str">
        <f>[4]SEGUIMIENTO!C136</f>
        <v>SA-PY2b.6</v>
      </c>
      <c r="D19" s="259" t="str">
        <f>[4]SEGUIMIENTO!D136</f>
        <v>Dotación, renovación de Software y licencias.</v>
      </c>
      <c r="E19" s="424">
        <f>[4]SEGUIMIENTO!E136</f>
        <v>211</v>
      </c>
      <c r="F19" s="425" t="s">
        <v>366</v>
      </c>
      <c r="G19" s="425">
        <v>360</v>
      </c>
      <c r="H19" s="425" t="s">
        <v>348</v>
      </c>
      <c r="I19" s="5">
        <v>360351833</v>
      </c>
      <c r="J19" s="5">
        <v>27015261</v>
      </c>
      <c r="K19" s="100">
        <f t="shared" si="6"/>
        <v>333336572</v>
      </c>
      <c r="L19" s="100">
        <v>0</v>
      </c>
      <c r="M19" s="256">
        <f t="shared" si="7"/>
        <v>0</v>
      </c>
      <c r="N19" s="100">
        <v>0</v>
      </c>
      <c r="O19" s="256">
        <f t="shared" si="8"/>
        <v>0</v>
      </c>
      <c r="P19" s="100">
        <v>27015261</v>
      </c>
      <c r="Q19" s="256">
        <f t="shared" si="9"/>
        <v>75042.391666666663</v>
      </c>
      <c r="R19" s="100">
        <f t="shared" si="10"/>
        <v>27015261</v>
      </c>
      <c r="S19" s="411">
        <v>0.06</v>
      </c>
      <c r="T19" s="411">
        <v>0.1</v>
      </c>
      <c r="U19" s="411">
        <f t="shared" si="11"/>
        <v>0.08</v>
      </c>
      <c r="V19" s="25" t="s">
        <v>1038</v>
      </c>
      <c r="W19" s="100">
        <v>360351833</v>
      </c>
      <c r="X19" s="94">
        <f>216283255+J19</f>
        <v>243298516</v>
      </c>
      <c r="Y19" s="100">
        <f t="shared" si="12"/>
        <v>117053317</v>
      </c>
      <c r="Z19" s="393">
        <v>207213075</v>
      </c>
      <c r="AA19" s="376">
        <f t="shared" si="0"/>
        <v>575591.875</v>
      </c>
      <c r="AB19" s="393">
        <v>9070180</v>
      </c>
      <c r="AC19" s="96">
        <f t="shared" si="1"/>
        <v>25194.944444444445</v>
      </c>
      <c r="AD19" s="393">
        <v>0</v>
      </c>
      <c r="AE19" s="96">
        <f t="shared" si="2"/>
        <v>0</v>
      </c>
      <c r="AF19" s="51">
        <f t="shared" si="13"/>
        <v>216283255</v>
      </c>
      <c r="AG19" s="290">
        <f t="shared" si="14"/>
        <v>0.67516935871948236</v>
      </c>
      <c r="AH19" s="290">
        <f t="shared" si="15"/>
        <v>600786.8194444445</v>
      </c>
      <c r="AI19" s="290">
        <f t="shared" si="16"/>
        <v>300393.74730690161</v>
      </c>
      <c r="AJ19" s="8" t="s">
        <v>1039</v>
      </c>
      <c r="AK19" s="100">
        <v>360351833</v>
      </c>
      <c r="AL19" s="94">
        <f>110934418+X19</f>
        <v>354232934</v>
      </c>
      <c r="AM19" s="100">
        <f t="shared" si="17"/>
        <v>6118899</v>
      </c>
      <c r="AN19" s="393">
        <v>110934418</v>
      </c>
      <c r="AO19" s="376">
        <f t="shared" si="3"/>
        <v>1386680225</v>
      </c>
      <c r="AP19" s="393">
        <v>0</v>
      </c>
      <c r="AQ19" s="96">
        <f t="shared" si="4"/>
        <v>0</v>
      </c>
      <c r="AR19" s="393">
        <v>0</v>
      </c>
      <c r="AS19" s="96">
        <f t="shared" si="5"/>
        <v>0</v>
      </c>
      <c r="AT19" s="51">
        <f t="shared" si="18"/>
        <v>110934418</v>
      </c>
      <c r="AU19" s="428">
        <f t="shared" si="19"/>
        <v>0.98301965346184317</v>
      </c>
      <c r="AV19" s="428">
        <f t="shared" si="20"/>
        <v>1386680225</v>
      </c>
      <c r="AW19" s="428">
        <f t="shared" si="21"/>
        <v>693340112.9915098</v>
      </c>
      <c r="AX19" s="8" t="s">
        <v>1040</v>
      </c>
    </row>
    <row r="20" spans="1:50" ht="24" x14ac:dyDescent="0.25">
      <c r="A20" s="420"/>
      <c r="B20" s="543"/>
      <c r="C20" s="424" t="str">
        <f>[4]SEGUIMIENTO!C137</f>
        <v>SA-PY2b.7</v>
      </c>
      <c r="D20" s="259" t="str">
        <f>[4]SEGUIMIENTO!D137</f>
        <v>Contratación personal para mantenimiento CTIC.</v>
      </c>
      <c r="E20" s="424">
        <f>[4]SEGUIMIENTO!E137</f>
        <v>211</v>
      </c>
      <c r="F20" s="425" t="s">
        <v>343</v>
      </c>
      <c r="G20" s="425">
        <v>359</v>
      </c>
      <c r="H20" s="425" t="s">
        <v>348</v>
      </c>
      <c r="I20" s="5">
        <v>359648167</v>
      </c>
      <c r="J20" s="5">
        <v>147995447</v>
      </c>
      <c r="K20" s="100">
        <f t="shared" si="6"/>
        <v>211652720</v>
      </c>
      <c r="L20" s="100">
        <v>147995447</v>
      </c>
      <c r="M20" s="256">
        <f t="shared" si="7"/>
        <v>412243.58495821728</v>
      </c>
      <c r="N20" s="100">
        <v>0</v>
      </c>
      <c r="O20" s="256">
        <f t="shared" si="8"/>
        <v>0</v>
      </c>
      <c r="P20" s="100">
        <v>0</v>
      </c>
      <c r="Q20" s="256">
        <f t="shared" si="9"/>
        <v>0</v>
      </c>
      <c r="R20" s="100">
        <f t="shared" si="10"/>
        <v>147995447</v>
      </c>
      <c r="S20" s="411">
        <v>0.5585</v>
      </c>
      <c r="T20" s="411">
        <v>0.5</v>
      </c>
      <c r="U20" s="411">
        <f t="shared" si="11"/>
        <v>0.52925</v>
      </c>
      <c r="V20" s="25" t="s">
        <v>1041</v>
      </c>
      <c r="W20" s="100">
        <v>359648167</v>
      </c>
      <c r="X20" s="94">
        <f>110602562+J20</f>
        <v>258598009</v>
      </c>
      <c r="Y20" s="100">
        <f t="shared" si="12"/>
        <v>101050158</v>
      </c>
      <c r="Z20" s="393">
        <v>0</v>
      </c>
      <c r="AA20" s="96">
        <f t="shared" si="0"/>
        <v>0</v>
      </c>
      <c r="AB20" s="393">
        <v>0</v>
      </c>
      <c r="AC20" s="96">
        <f t="shared" si="1"/>
        <v>0</v>
      </c>
      <c r="AD20" s="393">
        <v>110602562</v>
      </c>
      <c r="AE20" s="376">
        <f t="shared" si="2"/>
        <v>308085.13091922004</v>
      </c>
      <c r="AF20" s="51">
        <f t="shared" si="13"/>
        <v>110602562</v>
      </c>
      <c r="AG20" s="290">
        <f t="shared" si="14"/>
        <v>0.71903052129277223</v>
      </c>
      <c r="AH20" s="290">
        <f t="shared" si="15"/>
        <v>308085.13091922004</v>
      </c>
      <c r="AI20" s="290">
        <f t="shared" si="16"/>
        <v>154042.92497487066</v>
      </c>
      <c r="AJ20" s="25" t="s">
        <v>1041</v>
      </c>
      <c r="AK20" s="100">
        <v>359648167</v>
      </c>
      <c r="AL20" s="94">
        <v>91629398</v>
      </c>
      <c r="AM20" s="100">
        <f>AK20-AL20</f>
        <v>268018769</v>
      </c>
      <c r="AN20" s="393">
        <v>91629398</v>
      </c>
      <c r="AO20" s="376">
        <f t="shared" si="3"/>
        <v>173130652.810581</v>
      </c>
      <c r="AP20" s="393">
        <v>0</v>
      </c>
      <c r="AQ20" s="96">
        <f t="shared" si="4"/>
        <v>0</v>
      </c>
      <c r="AR20" s="393">
        <v>0</v>
      </c>
      <c r="AS20" s="96">
        <f t="shared" si="5"/>
        <v>0</v>
      </c>
      <c r="AT20" s="51">
        <f>AN20+AP20+AR20</f>
        <v>91629398</v>
      </c>
      <c r="AU20" s="428">
        <f>IFERROR((AL20/AK20),0)</f>
        <v>0.25477510080011057</v>
      </c>
      <c r="AV20" s="428">
        <f t="shared" si="20"/>
        <v>173130652.810581</v>
      </c>
      <c r="AW20" s="428">
        <f t="shared" si="21"/>
        <v>86565326.532678053</v>
      </c>
      <c r="AX20" s="25" t="s">
        <v>1041</v>
      </c>
    </row>
    <row r="21" spans="1:50" s="28" customFormat="1" ht="50.25" customHeight="1" x14ac:dyDescent="0.25">
      <c r="A21" s="420"/>
      <c r="B21" s="2" t="s">
        <v>367</v>
      </c>
      <c r="C21" s="23" t="str">
        <f>[4]SEGUIMIENTO!C138</f>
        <v>SA-PY2c.1</v>
      </c>
      <c r="D21" s="259" t="str">
        <f>[4]SEGUIMIENTO!D138</f>
        <v xml:space="preserve">Implementación  plataforma LCMS en la Usco para aumentar la tasa de cobertura bruta en la educación superior en el Departamento del Huila”, </v>
      </c>
      <c r="E21" s="23" t="str">
        <f>[4]SEGUIMIENTO!E138</f>
        <v>520-2</v>
      </c>
      <c r="F21" s="425" t="s">
        <v>343</v>
      </c>
      <c r="G21" s="425">
        <v>100</v>
      </c>
      <c r="H21" s="425" t="s">
        <v>1042</v>
      </c>
      <c r="I21" s="5">
        <v>757304129</v>
      </c>
      <c r="J21" s="5">
        <v>207998915</v>
      </c>
      <c r="K21" s="100">
        <f>I21-J21</f>
        <v>549305214</v>
      </c>
      <c r="L21" s="100">
        <v>35</v>
      </c>
      <c r="M21" s="256">
        <f t="shared" si="7"/>
        <v>0.35</v>
      </c>
      <c r="N21" s="100">
        <v>0</v>
      </c>
      <c r="O21" s="256">
        <f t="shared" si="8"/>
        <v>0</v>
      </c>
      <c r="P21" s="100">
        <v>0</v>
      </c>
      <c r="Q21" s="256">
        <f t="shared" si="9"/>
        <v>0</v>
      </c>
      <c r="R21" s="100">
        <f t="shared" si="10"/>
        <v>35</v>
      </c>
      <c r="S21" s="411">
        <v>0.2969</v>
      </c>
      <c r="T21" s="411">
        <v>0.3</v>
      </c>
      <c r="U21" s="411">
        <f t="shared" si="11"/>
        <v>0.29844999999999999</v>
      </c>
      <c r="V21" s="460" t="s">
        <v>1043</v>
      </c>
      <c r="W21" s="100">
        <f>K21</f>
        <v>549305214</v>
      </c>
      <c r="X21" s="94">
        <v>449606837</v>
      </c>
      <c r="Y21" s="100">
        <f>W21-X21</f>
        <v>99698377</v>
      </c>
      <c r="Z21" s="45">
        <v>30</v>
      </c>
      <c r="AA21" s="96">
        <f t="shared" si="0"/>
        <v>0.3</v>
      </c>
      <c r="AB21" s="45">
        <v>20</v>
      </c>
      <c r="AC21" s="96">
        <f t="shared" si="1"/>
        <v>0.2</v>
      </c>
      <c r="AD21" s="45">
        <v>10</v>
      </c>
      <c r="AE21" s="96">
        <f t="shared" si="2"/>
        <v>0.1</v>
      </c>
      <c r="AF21" s="51">
        <f t="shared" si="13"/>
        <v>60</v>
      </c>
      <c r="AG21" s="290">
        <f t="shared" si="14"/>
        <v>0.81850094545070162</v>
      </c>
      <c r="AH21" s="290">
        <f t="shared" si="15"/>
        <v>0.6</v>
      </c>
      <c r="AI21" s="290">
        <f t="shared" si="16"/>
        <v>0.7092504727253508</v>
      </c>
      <c r="AJ21" s="29" t="s">
        <v>1044</v>
      </c>
      <c r="AK21" s="100">
        <f>Y21</f>
        <v>99698377</v>
      </c>
      <c r="AL21" s="94">
        <v>99698377</v>
      </c>
      <c r="AM21" s="100">
        <f>AK21-AL21</f>
        <v>0</v>
      </c>
      <c r="AN21" s="45">
        <v>0</v>
      </c>
      <c r="AO21" s="96">
        <f t="shared" si="3"/>
        <v>0</v>
      </c>
      <c r="AP21" s="45">
        <v>10</v>
      </c>
      <c r="AQ21" s="376">
        <f t="shared" si="4"/>
        <v>33.506449991623391</v>
      </c>
      <c r="AR21" s="45">
        <v>0</v>
      </c>
      <c r="AS21" s="96">
        <f t="shared" si="5"/>
        <v>0</v>
      </c>
      <c r="AT21" s="51">
        <f t="shared" si="18"/>
        <v>10</v>
      </c>
      <c r="AU21" s="428">
        <f t="shared" si="19"/>
        <v>1</v>
      </c>
      <c r="AV21" s="428">
        <f t="shared" si="20"/>
        <v>33.506449991623391</v>
      </c>
      <c r="AW21" s="428">
        <f t="shared" si="21"/>
        <v>17.253224995811696</v>
      </c>
      <c r="AX21" s="29" t="s">
        <v>1044</v>
      </c>
    </row>
    <row r="22" spans="1:50" ht="45" customHeight="1" x14ac:dyDescent="0.25">
      <c r="A22" s="594" t="s">
        <v>334</v>
      </c>
      <c r="B22" s="595" t="s">
        <v>371</v>
      </c>
      <c r="C22" s="424" t="str">
        <f>[4]SEGUIMIENTO!C139</f>
        <v>SA-PY3.1</v>
      </c>
      <c r="D22" s="259" t="str">
        <f>[4]SEGUIMIENTO!D139</f>
        <v>Desarrollo de las actividades Gestión Ambiental y  vinculación personal del Proyecto.</v>
      </c>
      <c r="E22" s="424">
        <f>[4]SEGUIMIENTO!E139</f>
        <v>510</v>
      </c>
      <c r="F22" s="425" t="s">
        <v>374</v>
      </c>
      <c r="G22" s="425">
        <v>120</v>
      </c>
      <c r="H22" s="425" t="s">
        <v>348</v>
      </c>
      <c r="I22" s="5">
        <v>120238283</v>
      </c>
      <c r="J22" s="5">
        <v>56482267</v>
      </c>
      <c r="K22" s="100">
        <f t="shared" si="6"/>
        <v>63756016</v>
      </c>
      <c r="L22" s="100">
        <v>56482267</v>
      </c>
      <c r="M22" s="256">
        <f t="shared" si="7"/>
        <v>470685.55833333335</v>
      </c>
      <c r="N22" s="100">
        <v>0</v>
      </c>
      <c r="O22" s="256">
        <v>0</v>
      </c>
      <c r="P22" s="100">
        <v>0</v>
      </c>
      <c r="Q22" s="256">
        <f t="shared" si="9"/>
        <v>0</v>
      </c>
      <c r="R22" s="100">
        <f t="shared" si="10"/>
        <v>56482267</v>
      </c>
      <c r="S22" s="411">
        <v>0.48470000000000002</v>
      </c>
      <c r="T22" s="411">
        <v>0.2</v>
      </c>
      <c r="U22" s="411">
        <f t="shared" si="11"/>
        <v>0.34235000000000004</v>
      </c>
      <c r="V22" s="8" t="s">
        <v>1045</v>
      </c>
      <c r="W22" s="100">
        <v>120238283</v>
      </c>
      <c r="X22" s="94">
        <f>57000000+J22</f>
        <v>113482267</v>
      </c>
      <c r="Y22" s="100">
        <f t="shared" si="12"/>
        <v>6756016</v>
      </c>
      <c r="Z22" s="393">
        <v>0</v>
      </c>
      <c r="AA22" s="96">
        <f t="shared" si="0"/>
        <v>0</v>
      </c>
      <c r="AB22" s="393">
        <v>0</v>
      </c>
      <c r="AC22" s="96">
        <f t="shared" si="1"/>
        <v>0</v>
      </c>
      <c r="AD22" s="393">
        <v>57000000</v>
      </c>
      <c r="AE22" s="376">
        <f t="shared" si="2"/>
        <v>475000</v>
      </c>
      <c r="AF22" s="51">
        <f t="shared" si="13"/>
        <v>57000000</v>
      </c>
      <c r="AG22" s="290">
        <f t="shared" si="14"/>
        <v>0.94381143982237337</v>
      </c>
      <c r="AH22" s="290">
        <f t="shared" si="15"/>
        <v>475000</v>
      </c>
      <c r="AI22" s="290">
        <f>(AG22+AH22)/2</f>
        <v>237500.47190571993</v>
      </c>
      <c r="AJ22" s="458" t="s">
        <v>1046</v>
      </c>
      <c r="AK22" s="100">
        <v>120238283</v>
      </c>
      <c r="AL22" s="94">
        <f>4284000+X22</f>
        <v>117766267</v>
      </c>
      <c r="AM22" s="100">
        <f t="shared" si="17"/>
        <v>2472016</v>
      </c>
      <c r="AN22" s="393">
        <v>4284000</v>
      </c>
      <c r="AO22" s="96">
        <f t="shared" si="3"/>
        <v>12513509.566233385</v>
      </c>
      <c r="AP22" s="393">
        <v>0</v>
      </c>
      <c r="AQ22" s="96">
        <f t="shared" si="4"/>
        <v>0</v>
      </c>
      <c r="AR22" s="393">
        <v>0</v>
      </c>
      <c r="AS22" s="96">
        <f t="shared" si="5"/>
        <v>0</v>
      </c>
      <c r="AT22" s="51">
        <f t="shared" si="18"/>
        <v>4284000</v>
      </c>
      <c r="AU22" s="428">
        <f t="shared" si="19"/>
        <v>0.9794406911149921</v>
      </c>
      <c r="AV22" s="428">
        <f t="shared" si="20"/>
        <v>12513509.566233385</v>
      </c>
      <c r="AW22" s="428">
        <f t="shared" si="21"/>
        <v>6256755.2728370382</v>
      </c>
      <c r="AX22" s="25" t="s">
        <v>1047</v>
      </c>
    </row>
    <row r="23" spans="1:50" ht="51" customHeight="1" x14ac:dyDescent="0.25">
      <c r="A23" s="594"/>
      <c r="B23" s="596"/>
      <c r="C23" s="424" t="str">
        <f>[4]SEGUIMIENTO!C140</f>
        <v>SA-PY3.2</v>
      </c>
      <c r="D23" s="259" t="str">
        <f>[4]SEGUIMIENTO!D140</f>
        <v>Actualización y desarrollo del Sistema de Gestión de Calidad con el Plan de Desarrollo y vinculación personal del Proyecto.</v>
      </c>
      <c r="E23" s="424">
        <f>[4]SEGUIMIENTO!E140</f>
        <v>510</v>
      </c>
      <c r="F23" s="425" t="s">
        <v>374</v>
      </c>
      <c r="G23" s="425">
        <v>134</v>
      </c>
      <c r="H23" s="425" t="s">
        <v>348</v>
      </c>
      <c r="I23" s="5">
        <v>134000000</v>
      </c>
      <c r="J23" s="5">
        <v>56482267</v>
      </c>
      <c r="K23" s="100">
        <f t="shared" si="6"/>
        <v>77517733</v>
      </c>
      <c r="L23" s="100">
        <v>56482267</v>
      </c>
      <c r="M23" s="256">
        <f t="shared" si="7"/>
        <v>421509.45522388059</v>
      </c>
      <c r="N23" s="100">
        <v>0</v>
      </c>
      <c r="O23" s="256">
        <f t="shared" si="8"/>
        <v>0</v>
      </c>
      <c r="P23" s="100">
        <v>0</v>
      </c>
      <c r="Q23" s="256">
        <f t="shared" si="9"/>
        <v>0</v>
      </c>
      <c r="R23" s="100">
        <f t="shared" si="10"/>
        <v>56482267</v>
      </c>
      <c r="S23" s="411">
        <v>0.42149999999999999</v>
      </c>
      <c r="T23" s="411">
        <v>0.2</v>
      </c>
      <c r="U23" s="411">
        <f t="shared" si="11"/>
        <v>0.31074999999999997</v>
      </c>
      <c r="V23" s="458" t="s">
        <v>1048</v>
      </c>
      <c r="W23" s="100">
        <v>134000000</v>
      </c>
      <c r="X23" s="94">
        <f>56201662+J23</f>
        <v>112683929</v>
      </c>
      <c r="Y23" s="100">
        <f>W23-X23</f>
        <v>21316071</v>
      </c>
      <c r="Z23" s="393">
        <v>0</v>
      </c>
      <c r="AA23" s="96">
        <f t="shared" si="0"/>
        <v>0</v>
      </c>
      <c r="AB23" s="393">
        <v>0</v>
      </c>
      <c r="AC23" s="96">
        <f t="shared" si="1"/>
        <v>0</v>
      </c>
      <c r="AD23" s="393">
        <v>56201662</v>
      </c>
      <c r="AE23" s="376">
        <f t="shared" si="2"/>
        <v>419415.38805970148</v>
      </c>
      <c r="AF23" s="51">
        <f>Z23+AB23+AD23</f>
        <v>56201662</v>
      </c>
      <c r="AG23" s="290">
        <f t="shared" si="14"/>
        <v>0.84092484328358208</v>
      </c>
      <c r="AH23" s="290">
        <f t="shared" si="15"/>
        <v>419415.38805970148</v>
      </c>
      <c r="AI23" s="290">
        <f t="shared" si="16"/>
        <v>209708.11449227238</v>
      </c>
      <c r="AJ23" s="458" t="s">
        <v>1048</v>
      </c>
      <c r="AK23" s="100">
        <v>134000000</v>
      </c>
      <c r="AL23" s="94">
        <f>17462582+X23</f>
        <v>130146511</v>
      </c>
      <c r="AM23" s="100">
        <f>AK23-AL23</f>
        <v>3853489</v>
      </c>
      <c r="AN23" s="393">
        <v>17462582</v>
      </c>
      <c r="AO23" s="376">
        <f t="shared" si="3"/>
        <v>56194954.14320194</v>
      </c>
      <c r="AP23" s="393">
        <v>0</v>
      </c>
      <c r="AQ23" s="96">
        <f t="shared" si="4"/>
        <v>0</v>
      </c>
      <c r="AR23" s="393">
        <v>0</v>
      </c>
      <c r="AS23" s="96">
        <f t="shared" si="5"/>
        <v>0</v>
      </c>
      <c r="AT23" s="51">
        <f t="shared" si="18"/>
        <v>17462582</v>
      </c>
      <c r="AU23" s="428">
        <f t="shared" si="19"/>
        <v>0.97124261940298506</v>
      </c>
      <c r="AV23" s="428">
        <f t="shared" si="20"/>
        <v>56194954.14320194</v>
      </c>
      <c r="AW23" s="428">
        <f t="shared" si="21"/>
        <v>28097477.557222281</v>
      </c>
      <c r="AX23" s="25" t="s">
        <v>1049</v>
      </c>
    </row>
    <row r="24" spans="1:50" ht="38.25" customHeight="1" x14ac:dyDescent="0.25">
      <c r="A24" s="594"/>
      <c r="B24" s="596"/>
      <c r="C24" s="424" t="str">
        <f>[4]SEGUIMIENTO!C141</f>
        <v>SA-PY3.3</v>
      </c>
      <c r="D24" s="259" t="str">
        <f>[4]SEGUIMIENTO!D141</f>
        <v>Afiliación y Auditoría de seguimiento de la Certificación ISO 9001:2008 NTCGP 1000:2009.</v>
      </c>
      <c r="E24" s="424">
        <f>[4]SEGUIMIENTO!E141</f>
        <v>510</v>
      </c>
      <c r="F24" s="425" t="s">
        <v>374</v>
      </c>
      <c r="G24" s="425">
        <v>26</v>
      </c>
      <c r="H24" s="425" t="s">
        <v>348</v>
      </c>
      <c r="I24" s="5">
        <v>0</v>
      </c>
      <c r="J24" s="94">
        <v>0</v>
      </c>
      <c r="K24" s="100">
        <f t="shared" si="6"/>
        <v>0</v>
      </c>
      <c r="L24" s="100">
        <v>0</v>
      </c>
      <c r="M24" s="256">
        <f t="shared" si="7"/>
        <v>0</v>
      </c>
      <c r="N24" s="100">
        <v>0</v>
      </c>
      <c r="O24" s="256">
        <f t="shared" si="8"/>
        <v>0</v>
      </c>
      <c r="P24" s="100">
        <v>0</v>
      </c>
      <c r="Q24" s="256">
        <f t="shared" si="9"/>
        <v>0</v>
      </c>
      <c r="R24" s="100">
        <f t="shared" si="10"/>
        <v>0</v>
      </c>
      <c r="S24" s="411">
        <f>IFERROR((J24/I24),0)</f>
        <v>0</v>
      </c>
      <c r="T24" s="411">
        <f>L24+N24+P24</f>
        <v>0</v>
      </c>
      <c r="U24" s="411">
        <f t="shared" si="11"/>
        <v>0</v>
      </c>
      <c r="V24" s="7"/>
      <c r="W24" s="100">
        <v>0</v>
      </c>
      <c r="X24" s="100">
        <v>0</v>
      </c>
      <c r="Y24" s="100">
        <f t="shared" si="12"/>
        <v>0</v>
      </c>
      <c r="Z24" s="393">
        <v>0</v>
      </c>
      <c r="AA24" s="96">
        <f t="shared" si="0"/>
        <v>0</v>
      </c>
      <c r="AB24" s="393">
        <v>0</v>
      </c>
      <c r="AC24" s="96">
        <f t="shared" si="1"/>
        <v>0</v>
      </c>
      <c r="AD24" s="393">
        <v>0</v>
      </c>
      <c r="AE24" s="96">
        <f t="shared" si="2"/>
        <v>0</v>
      </c>
      <c r="AF24" s="51">
        <f t="shared" si="13"/>
        <v>0</v>
      </c>
      <c r="AG24" s="290">
        <f t="shared" si="14"/>
        <v>0</v>
      </c>
      <c r="AH24" s="290">
        <f t="shared" si="15"/>
        <v>0</v>
      </c>
      <c r="AI24" s="290">
        <f t="shared" si="16"/>
        <v>0</v>
      </c>
      <c r="AJ24" s="7"/>
      <c r="AK24" s="100">
        <v>26716000</v>
      </c>
      <c r="AL24" s="100">
        <v>8500000</v>
      </c>
      <c r="AM24" s="100">
        <f t="shared" si="17"/>
        <v>18216000</v>
      </c>
      <c r="AN24" s="54">
        <v>8500000</v>
      </c>
      <c r="AO24" s="376">
        <f>IFERROR((AN24/U24),0)</f>
        <v>0</v>
      </c>
      <c r="AP24" s="393">
        <v>0</v>
      </c>
      <c r="AQ24" s="96">
        <f t="shared" si="4"/>
        <v>0</v>
      </c>
      <c r="AR24" s="393">
        <v>0</v>
      </c>
      <c r="AS24" s="96">
        <f t="shared" si="5"/>
        <v>0</v>
      </c>
      <c r="AT24" s="51">
        <f t="shared" si="18"/>
        <v>8500000</v>
      </c>
      <c r="AU24" s="428">
        <f t="shared" si="19"/>
        <v>0.31816140140739629</v>
      </c>
      <c r="AV24" s="428">
        <f t="shared" si="20"/>
        <v>0</v>
      </c>
      <c r="AW24" s="428">
        <f t="shared" si="21"/>
        <v>0.15908070070369815</v>
      </c>
      <c r="AX24" s="25" t="s">
        <v>1050</v>
      </c>
    </row>
    <row r="25" spans="1:50" ht="32.25" customHeight="1" x14ac:dyDescent="0.25">
      <c r="A25" s="594"/>
      <c r="B25" s="597"/>
      <c r="C25" s="424" t="str">
        <f>[4]SEGUIMIENTO!C142</f>
        <v>SA-PY3.4</v>
      </c>
      <c r="D25" s="259" t="str">
        <f>[4]SEGUIMIENTO!D142</f>
        <v xml:space="preserve"> Gestión de la estructura academico-administrativa y financiera.</v>
      </c>
      <c r="E25" s="424">
        <f>[4]SEGUIMIENTO!E142</f>
        <v>510</v>
      </c>
      <c r="F25" s="425" t="s">
        <v>72</v>
      </c>
      <c r="G25" s="449" t="s">
        <v>1023</v>
      </c>
      <c r="H25" s="449" t="s">
        <v>1023</v>
      </c>
      <c r="I25" s="449">
        <v>0</v>
      </c>
      <c r="J25" s="449"/>
      <c r="K25" s="449">
        <f t="shared" si="6"/>
        <v>0</v>
      </c>
      <c r="L25" s="449" t="s">
        <v>1023</v>
      </c>
      <c r="M25" s="449">
        <f t="shared" si="7"/>
        <v>0</v>
      </c>
      <c r="N25" s="449" t="s">
        <v>1023</v>
      </c>
      <c r="O25" s="449">
        <f t="shared" si="8"/>
        <v>0</v>
      </c>
      <c r="P25" s="449" t="s">
        <v>1023</v>
      </c>
      <c r="Q25" s="449">
        <f t="shared" si="9"/>
        <v>0</v>
      </c>
      <c r="R25" s="449" t="s">
        <v>1023</v>
      </c>
      <c r="S25" s="411" t="s">
        <v>1023</v>
      </c>
      <c r="T25" s="411" t="s">
        <v>1023</v>
      </c>
      <c r="U25" s="411" t="s">
        <v>1023</v>
      </c>
      <c r="V25" s="7"/>
      <c r="W25" s="449">
        <v>0</v>
      </c>
      <c r="X25" s="449">
        <v>0</v>
      </c>
      <c r="Y25" s="449">
        <f t="shared" si="12"/>
        <v>0</v>
      </c>
      <c r="Z25" s="449" t="s">
        <v>1023</v>
      </c>
      <c r="AA25" s="449">
        <f t="shared" si="0"/>
        <v>0</v>
      </c>
      <c r="AB25" s="449" t="s">
        <v>1023</v>
      </c>
      <c r="AC25" s="449">
        <f t="shared" si="1"/>
        <v>0</v>
      </c>
      <c r="AD25" s="449" t="s">
        <v>1023</v>
      </c>
      <c r="AE25" s="449">
        <f t="shared" si="2"/>
        <v>0</v>
      </c>
      <c r="AF25" s="449" t="s">
        <v>1023</v>
      </c>
      <c r="AG25" s="290" t="s">
        <v>1023</v>
      </c>
      <c r="AH25" s="290" t="s">
        <v>1023</v>
      </c>
      <c r="AI25" s="290" t="s">
        <v>1023</v>
      </c>
      <c r="AJ25" s="7"/>
      <c r="AK25" s="454">
        <v>0</v>
      </c>
      <c r="AL25" s="454">
        <v>0</v>
      </c>
      <c r="AM25" s="454">
        <f t="shared" si="17"/>
        <v>0</v>
      </c>
      <c r="AN25" s="454" t="s">
        <v>1023</v>
      </c>
      <c r="AO25" s="454">
        <f t="shared" si="3"/>
        <v>0</v>
      </c>
      <c r="AP25" s="454" t="s">
        <v>1023</v>
      </c>
      <c r="AQ25" s="454">
        <f t="shared" si="4"/>
        <v>0</v>
      </c>
      <c r="AR25" s="454" t="s">
        <v>1023</v>
      </c>
      <c r="AS25" s="454">
        <f t="shared" si="5"/>
        <v>0</v>
      </c>
      <c r="AT25" s="454" t="s">
        <v>1023</v>
      </c>
      <c r="AU25" s="454" t="s">
        <v>1023</v>
      </c>
      <c r="AV25" s="454" t="s">
        <v>1023</v>
      </c>
      <c r="AW25" s="454" t="s">
        <v>1023</v>
      </c>
      <c r="AX25" s="7"/>
    </row>
    <row r="26" spans="1:50" ht="75" x14ac:dyDescent="0.25">
      <c r="A26" s="594"/>
      <c r="B26" s="422" t="s">
        <v>381</v>
      </c>
      <c r="C26" s="424" t="str">
        <f>[4]SEGUIMIENTO!C143</f>
        <v>SA-PY5.1</v>
      </c>
      <c r="D26" s="259" t="str">
        <f>[4]SEGUIMIENTO!D143</f>
        <v>Elaboración de estudio de factibilidad ténico-financiero de la modernización académico administrativa.</v>
      </c>
      <c r="E26" s="424">
        <f>[4]SEGUIMIENTO!E143</f>
        <v>510</v>
      </c>
      <c r="F26" s="425" t="s">
        <v>384</v>
      </c>
      <c r="G26" s="425">
        <v>100</v>
      </c>
      <c r="H26" s="425" t="s">
        <v>385</v>
      </c>
      <c r="I26" s="94">
        <f>[4]SEGUIMIENTO!I143</f>
        <v>50000000</v>
      </c>
      <c r="J26" s="94">
        <v>50000000</v>
      </c>
      <c r="K26" s="100">
        <f t="shared" si="6"/>
        <v>0</v>
      </c>
      <c r="L26" s="100">
        <v>50</v>
      </c>
      <c r="M26" s="256">
        <f t="shared" si="7"/>
        <v>0.5</v>
      </c>
      <c r="N26" s="100">
        <v>50</v>
      </c>
      <c r="O26" s="256">
        <f t="shared" si="8"/>
        <v>0.5</v>
      </c>
      <c r="P26" s="100">
        <v>0</v>
      </c>
      <c r="Q26" s="256">
        <f t="shared" si="9"/>
        <v>0</v>
      </c>
      <c r="R26" s="100">
        <f t="shared" si="10"/>
        <v>100</v>
      </c>
      <c r="S26" s="411">
        <v>1</v>
      </c>
      <c r="T26" s="411">
        <f>L26+N26+P26</f>
        <v>100</v>
      </c>
      <c r="U26" s="411">
        <f t="shared" si="11"/>
        <v>50.5</v>
      </c>
      <c r="V26" s="25" t="s">
        <v>1051</v>
      </c>
      <c r="W26" s="100">
        <v>0</v>
      </c>
      <c r="X26" s="94">
        <v>0</v>
      </c>
      <c r="Y26" s="100">
        <v>0</v>
      </c>
      <c r="Z26" s="393">
        <v>0</v>
      </c>
      <c r="AA26" s="96">
        <f t="shared" si="0"/>
        <v>0</v>
      </c>
      <c r="AB26" s="393">
        <v>0</v>
      </c>
      <c r="AC26" s="96">
        <f t="shared" si="1"/>
        <v>0</v>
      </c>
      <c r="AD26" s="393">
        <v>0</v>
      </c>
      <c r="AE26" s="96">
        <f t="shared" si="2"/>
        <v>0</v>
      </c>
      <c r="AF26" s="51">
        <f t="shared" si="13"/>
        <v>0</v>
      </c>
      <c r="AG26" s="290">
        <f t="shared" si="14"/>
        <v>0</v>
      </c>
      <c r="AH26" s="290">
        <f t="shared" si="15"/>
        <v>0</v>
      </c>
      <c r="AI26" s="290">
        <f t="shared" si="16"/>
        <v>0</v>
      </c>
      <c r="AJ26" s="25" t="s">
        <v>1052</v>
      </c>
      <c r="AK26" s="100">
        <v>0</v>
      </c>
      <c r="AL26" s="94">
        <v>0</v>
      </c>
      <c r="AM26" s="100">
        <f t="shared" si="17"/>
        <v>0</v>
      </c>
      <c r="AN26" s="393">
        <v>0</v>
      </c>
      <c r="AO26" s="96">
        <f t="shared" si="3"/>
        <v>0</v>
      </c>
      <c r="AP26" s="393">
        <v>0</v>
      </c>
      <c r="AQ26" s="96">
        <f t="shared" si="4"/>
        <v>0</v>
      </c>
      <c r="AR26" s="393">
        <v>0</v>
      </c>
      <c r="AS26" s="96">
        <f t="shared" si="5"/>
        <v>0</v>
      </c>
      <c r="AT26" s="51">
        <f t="shared" si="18"/>
        <v>0</v>
      </c>
      <c r="AU26" s="428">
        <v>0</v>
      </c>
      <c r="AV26" s="428">
        <v>0</v>
      </c>
      <c r="AW26" s="428">
        <v>0</v>
      </c>
      <c r="AX26" s="25" t="s">
        <v>1052</v>
      </c>
    </row>
    <row r="27" spans="1:50" ht="61.5" customHeight="1" x14ac:dyDescent="0.25">
      <c r="A27" s="594"/>
      <c r="B27" s="399" t="s">
        <v>386</v>
      </c>
      <c r="C27" s="424" t="str">
        <f>[4]SEGUIMIENTO!C144</f>
        <v>SA-PY7.1</v>
      </c>
      <c r="D27" s="259" t="str">
        <f>[4]SEGUIMIENTO!D144</f>
        <v>Ejecución Plan de Capacitación para el personal Administrativo y de Trabajadores Oficiales.</v>
      </c>
      <c r="E27" s="424">
        <f>[4]SEGUIMIENTO!E144</f>
        <v>310</v>
      </c>
      <c r="F27" s="396" t="s">
        <v>389</v>
      </c>
      <c r="G27" s="396">
        <v>180</v>
      </c>
      <c r="H27" s="396" t="s">
        <v>62</v>
      </c>
      <c r="I27" s="94">
        <v>215500000</v>
      </c>
      <c r="J27" s="402">
        <v>109249010</v>
      </c>
      <c r="K27" s="100">
        <f t="shared" si="6"/>
        <v>106250990</v>
      </c>
      <c r="L27" s="226">
        <v>3</v>
      </c>
      <c r="M27" s="256">
        <f t="shared" si="7"/>
        <v>1.6666666666666666E-2</v>
      </c>
      <c r="N27" s="226">
        <v>4</v>
      </c>
      <c r="O27" s="256">
        <f t="shared" si="8"/>
        <v>2.2222222222222223E-2</v>
      </c>
      <c r="P27" s="226">
        <v>4</v>
      </c>
      <c r="Q27" s="256">
        <f t="shared" si="9"/>
        <v>2.2222222222222223E-2</v>
      </c>
      <c r="R27" s="100">
        <f t="shared" si="10"/>
        <v>11</v>
      </c>
      <c r="S27" s="411">
        <f>IFERROR((J27/I27),0)</f>
        <v>0.50695596287703015</v>
      </c>
      <c r="T27" s="411">
        <v>0.2</v>
      </c>
      <c r="U27" s="411">
        <f t="shared" si="11"/>
        <v>0.35347798143851505</v>
      </c>
      <c r="V27" s="61" t="s">
        <v>1053</v>
      </c>
      <c r="W27" s="100">
        <v>215500000</v>
      </c>
      <c r="X27" s="407">
        <v>109249010</v>
      </c>
      <c r="Y27" s="100">
        <f t="shared" si="12"/>
        <v>106250990</v>
      </c>
      <c r="Z27" s="52">
        <v>3</v>
      </c>
      <c r="AA27" s="96">
        <f t="shared" si="0"/>
        <v>1.6666666666666666E-2</v>
      </c>
      <c r="AB27" s="52">
        <v>11</v>
      </c>
      <c r="AC27" s="96">
        <f t="shared" si="1"/>
        <v>6.1111111111111109E-2</v>
      </c>
      <c r="AD27" s="52">
        <v>5</v>
      </c>
      <c r="AE27" s="96">
        <f t="shared" si="2"/>
        <v>2.7777777777777776E-2</v>
      </c>
      <c r="AF27" s="51">
        <f t="shared" si="13"/>
        <v>19</v>
      </c>
      <c r="AG27" s="290">
        <f t="shared" si="14"/>
        <v>0.50695596287703015</v>
      </c>
      <c r="AH27" s="290">
        <f t="shared" si="15"/>
        <v>0.10555555555555556</v>
      </c>
      <c r="AI27" s="290">
        <f t="shared" si="16"/>
        <v>0.30625575921629283</v>
      </c>
      <c r="AJ27" s="61" t="s">
        <v>1053</v>
      </c>
      <c r="AK27" s="100">
        <v>215500000</v>
      </c>
      <c r="AL27" s="407">
        <f>63616527+X27</f>
        <v>172865537</v>
      </c>
      <c r="AM27" s="100">
        <f t="shared" si="17"/>
        <v>42634463</v>
      </c>
      <c r="AN27" s="52">
        <v>4</v>
      </c>
      <c r="AO27" s="96">
        <f t="shared" si="3"/>
        <v>11.316122106733744</v>
      </c>
      <c r="AP27" s="52">
        <v>2</v>
      </c>
      <c r="AQ27" s="96">
        <f t="shared" si="4"/>
        <v>5.6580610533668718</v>
      </c>
      <c r="AR27" s="52">
        <v>5</v>
      </c>
      <c r="AS27" s="96">
        <f t="shared" si="5"/>
        <v>14.14515263341718</v>
      </c>
      <c r="AT27" s="51">
        <f t="shared" si="18"/>
        <v>11</v>
      </c>
      <c r="AU27" s="428">
        <f t="shared" si="19"/>
        <v>0.80216026450116007</v>
      </c>
      <c r="AV27" s="428">
        <f t="shared" si="20"/>
        <v>31.119335793517795</v>
      </c>
      <c r="AW27" s="428">
        <f t="shared" si="21"/>
        <v>15.960748029009478</v>
      </c>
      <c r="AX27" s="61" t="s">
        <v>1053</v>
      </c>
    </row>
    <row r="28" spans="1:50" s="17" customFormat="1" ht="15.95" customHeight="1" x14ac:dyDescent="0.25">
      <c r="A28" s="16"/>
      <c r="B28" s="598" t="s">
        <v>390</v>
      </c>
      <c r="C28" s="598"/>
      <c r="D28" s="598"/>
      <c r="E28" s="62"/>
      <c r="F28" s="62"/>
      <c r="G28" s="62"/>
      <c r="H28" s="62"/>
      <c r="I28" s="15">
        <f>SUM(I8:I27)</f>
        <v>7173242543</v>
      </c>
      <c r="J28" s="15">
        <f>SUM(J8:J27)</f>
        <v>1500507086</v>
      </c>
      <c r="K28" s="15">
        <f>SUM(K8:K27)</f>
        <v>5672735457</v>
      </c>
      <c r="L28" s="15"/>
      <c r="M28" s="15"/>
      <c r="N28" s="15"/>
      <c r="O28" s="15"/>
      <c r="P28" s="15"/>
      <c r="Q28" s="15"/>
      <c r="R28" s="15"/>
      <c r="S28" s="15"/>
      <c r="T28" s="15"/>
      <c r="U28" s="15"/>
      <c r="V28" s="16"/>
      <c r="W28" s="15">
        <f>SUM(W8:W27)</f>
        <v>6919243628</v>
      </c>
      <c r="X28" s="15">
        <f>SUM(X8:X27)</f>
        <v>2967703189</v>
      </c>
      <c r="Y28" s="15">
        <f>SUM(Y8:Y27)</f>
        <v>3951540439</v>
      </c>
      <c r="Z28" s="16"/>
      <c r="AA28" s="16"/>
      <c r="AB28" s="16"/>
      <c r="AC28" s="16"/>
      <c r="AD28" s="16"/>
      <c r="AE28" s="16"/>
      <c r="AF28" s="16"/>
      <c r="AG28" s="411"/>
      <c r="AH28" s="411"/>
      <c r="AI28" s="411"/>
      <c r="AJ28" s="16"/>
      <c r="AK28" s="15">
        <f>SUM(AK8:AK27)</f>
        <v>6332918694</v>
      </c>
      <c r="AL28" s="15">
        <f>SUM(AL8:AL27)</f>
        <v>3795815629</v>
      </c>
      <c r="AM28" s="15">
        <f>SUM(AM8:AM27)</f>
        <v>2537103065</v>
      </c>
      <c r="AN28" s="16"/>
      <c r="AO28" s="16"/>
      <c r="AP28" s="16"/>
      <c r="AQ28" s="16"/>
      <c r="AR28" s="16"/>
      <c r="AS28" s="16"/>
      <c r="AT28" s="16"/>
      <c r="AU28" s="16"/>
      <c r="AV28" s="16"/>
      <c r="AW28" s="16"/>
      <c r="AX28" s="16"/>
    </row>
    <row r="29" spans="1:50" ht="15.95" customHeight="1" x14ac:dyDescent="0.25">
      <c r="C29" s="65"/>
      <c r="D29" s="66"/>
      <c r="F29" s="67"/>
      <c r="G29" s="67"/>
      <c r="H29" s="67"/>
      <c r="I29" s="68"/>
      <c r="J29" s="68"/>
      <c r="K29" s="68"/>
      <c r="L29" s="68"/>
      <c r="M29" s="68"/>
      <c r="N29" s="68"/>
      <c r="O29" s="68"/>
      <c r="P29" s="68"/>
      <c r="Q29" s="68"/>
      <c r="R29" s="68"/>
      <c r="S29" s="68"/>
      <c r="T29" s="68"/>
      <c r="U29" s="68"/>
      <c r="W29" s="68">
        <f>W28-[4]SEGUIMIENTO!W145</f>
        <v>0</v>
      </c>
      <c r="X29" s="68">
        <f>X28-[4]SEGUIMIENTO!X145</f>
        <v>0</v>
      </c>
      <c r="Y29" s="68">
        <f>Y28-[4]SEGUIMIENTO!Y145</f>
        <v>0</v>
      </c>
      <c r="AK29" s="68">
        <f>AK28-[4]SEGUIMIENTO!AY145</f>
        <v>6332918694</v>
      </c>
      <c r="AL29" s="68">
        <f>AL28-[4]SEGUIMIENTO!AZ145</f>
        <v>3795815629</v>
      </c>
      <c r="AM29" s="68">
        <f>AM28-[4]SEGUIMIENTO!BA145</f>
        <v>2537103065</v>
      </c>
    </row>
    <row r="30" spans="1:50" ht="15.95" customHeight="1" x14ac:dyDescent="0.25">
      <c r="C30" s="65"/>
      <c r="E30" s="65"/>
      <c r="F30" s="66"/>
      <c r="G30" s="66"/>
      <c r="H30" s="66"/>
    </row>
    <row r="31" spans="1:50" ht="15.95" customHeight="1" x14ac:dyDescent="0.25">
      <c r="F31" s="69"/>
      <c r="G31" s="69"/>
      <c r="H31" s="69"/>
      <c r="I31" s="68"/>
    </row>
    <row r="32" spans="1:50" ht="15.95" customHeight="1" x14ac:dyDescent="0.25">
      <c r="F32" s="69"/>
      <c r="G32" s="69"/>
      <c r="H32" s="69"/>
      <c r="I32" s="68"/>
    </row>
    <row r="33" spans="4:9" ht="15.95" customHeight="1" x14ac:dyDescent="0.25">
      <c r="F33" s="69"/>
      <c r="G33" s="69"/>
      <c r="H33" s="69"/>
      <c r="I33" s="68"/>
    </row>
    <row r="34" spans="4:9" ht="15.95" customHeight="1" x14ac:dyDescent="0.25">
      <c r="D34" s="66"/>
      <c r="E34" s="70"/>
      <c r="F34" s="71"/>
      <c r="G34" s="71"/>
      <c r="H34" s="71"/>
      <c r="I34" s="68"/>
    </row>
    <row r="35" spans="4:9" ht="15.95" customHeight="1" x14ac:dyDescent="0.25">
      <c r="D35" s="66"/>
      <c r="E35" s="70"/>
      <c r="F35" s="65"/>
      <c r="G35" s="65"/>
      <c r="H35" s="65"/>
      <c r="I35" s="68"/>
    </row>
    <row r="36" spans="4:9" ht="15.95" customHeight="1" x14ac:dyDescent="0.25">
      <c r="D36" s="66"/>
      <c r="E36" s="70"/>
      <c r="F36" s="65"/>
      <c r="G36" s="65"/>
      <c r="H36" s="65"/>
      <c r="I36" s="68"/>
    </row>
    <row r="37" spans="4:9" ht="15.95" customHeight="1" x14ac:dyDescent="0.25"/>
    <row r="38" spans="4:9" ht="15.95" customHeight="1" x14ac:dyDescent="0.25">
      <c r="F38" s="67"/>
      <c r="G38" s="67"/>
      <c r="H38" s="67"/>
    </row>
    <row r="39" spans="4:9" ht="15.95" customHeight="1" x14ac:dyDescent="0.25"/>
    <row r="40" spans="4:9" ht="15.95" customHeight="1" x14ac:dyDescent="0.25"/>
    <row r="41" spans="4:9" ht="15.95" customHeight="1" x14ac:dyDescent="0.25"/>
  </sheetData>
  <mergeCells count="88">
    <mergeCell ref="AX5:AX7"/>
    <mergeCell ref="AN6:AO6"/>
    <mergeCell ref="AP6:AQ6"/>
    <mergeCell ref="AR6:AS6"/>
    <mergeCell ref="AK7:AM7"/>
    <mergeCell ref="AU7:AW7"/>
    <mergeCell ref="AO4:AQ4"/>
    <mergeCell ref="AR4:AS4"/>
    <mergeCell ref="AT4:AU4"/>
    <mergeCell ref="AV4:AW4"/>
    <mergeCell ref="AK5:AK6"/>
    <mergeCell ref="AL5:AL6"/>
    <mergeCell ref="AM5:AM6"/>
    <mergeCell ref="AN5:AS5"/>
    <mergeCell ref="AT5:AT7"/>
    <mergeCell ref="AU5:AU6"/>
    <mergeCell ref="AV5:AV6"/>
    <mergeCell ref="AW5:AW6"/>
    <mergeCell ref="AN1:AN3"/>
    <mergeCell ref="AO1:AW1"/>
    <mergeCell ref="AX1:AX3"/>
    <mergeCell ref="AO2:AW2"/>
    <mergeCell ref="AO3:AW3"/>
    <mergeCell ref="B28:D28"/>
    <mergeCell ref="I7:K7"/>
    <mergeCell ref="L5:Q5"/>
    <mergeCell ref="L6:M6"/>
    <mergeCell ref="N6:O6"/>
    <mergeCell ref="P6:Q6"/>
    <mergeCell ref="A8:A19"/>
    <mergeCell ref="B8:B10"/>
    <mergeCell ref="A22:A27"/>
    <mergeCell ref="B11:B13"/>
    <mergeCell ref="B14:B20"/>
    <mergeCell ref="B22:B25"/>
    <mergeCell ref="W7:Y7"/>
    <mergeCell ref="S5:S6"/>
    <mergeCell ref="AG7:AI7"/>
    <mergeCell ref="AG5:AG6"/>
    <mergeCell ref="AH5:AH6"/>
    <mergeCell ref="AI5:AI6"/>
    <mergeCell ref="AB6:AC6"/>
    <mergeCell ref="S7:U7"/>
    <mergeCell ref="W5:W6"/>
    <mergeCell ref="V5:V7"/>
    <mergeCell ref="AJ5:AJ7"/>
    <mergeCell ref="A6:A7"/>
    <mergeCell ref="B6:B7"/>
    <mergeCell ref="C6:C7"/>
    <mergeCell ref="D6:D7"/>
    <mergeCell ref="E6:E7"/>
    <mergeCell ref="F6:F7"/>
    <mergeCell ref="I5:I6"/>
    <mergeCell ref="J5:J6"/>
    <mergeCell ref="K5:K6"/>
    <mergeCell ref="Z5:AE5"/>
    <mergeCell ref="AF5:AF7"/>
    <mergeCell ref="G6:G7"/>
    <mergeCell ref="H6:H7"/>
    <mergeCell ref="Z6:AA6"/>
    <mergeCell ref="AD6:AE6"/>
    <mergeCell ref="A1:A3"/>
    <mergeCell ref="B1:I1"/>
    <mergeCell ref="J1:K3"/>
    <mergeCell ref="Z1:Z3"/>
    <mergeCell ref="AA1:AI1"/>
    <mergeCell ref="V1:V3"/>
    <mergeCell ref="AJ1:AJ3"/>
    <mergeCell ref="B2:I2"/>
    <mergeCell ref="AA2:AI2"/>
    <mergeCell ref="B3:I3"/>
    <mergeCell ref="AA3:AI3"/>
    <mergeCell ref="AD4:AE4"/>
    <mergeCell ref="AF4:AG4"/>
    <mergeCell ref="AH4:AI4"/>
    <mergeCell ref="A5:B5"/>
    <mergeCell ref="C5:E5"/>
    <mergeCell ref="F5:H5"/>
    <mergeCell ref="B4:C4"/>
    <mergeCell ref="E4:F4"/>
    <mergeCell ref="G4:H4"/>
    <mergeCell ref="I4:K4"/>
    <mergeCell ref="AA4:AC4"/>
    <mergeCell ref="T5:T6"/>
    <mergeCell ref="U5:U6"/>
    <mergeCell ref="X5:X6"/>
    <mergeCell ref="Y5:Y6"/>
    <mergeCell ref="R5:R7"/>
  </mergeCells>
  <conditionalFormatting sqref="AI28">
    <cfRule type="cellIs" dxfId="694" priority="23" operator="greaterThan">
      <formula>24%</formula>
    </cfRule>
    <cfRule type="cellIs" dxfId="693" priority="24" operator="between">
      <formula>20%</formula>
      <formula>24%</formula>
    </cfRule>
    <cfRule type="cellIs" dxfId="692" priority="25" operator="between">
      <formula>9%</formula>
      <formula>19%</formula>
    </cfRule>
    <cfRule type="cellIs" dxfId="691" priority="26" operator="lessThan">
      <formula>9%</formula>
    </cfRule>
  </conditionalFormatting>
  <conditionalFormatting sqref="AG28:AH28">
    <cfRule type="cellIs" dxfId="690" priority="27" operator="greaterThan">
      <formula>24%</formula>
    </cfRule>
    <cfRule type="cellIs" dxfId="689" priority="28" operator="between">
      <formula>20%</formula>
      <formula>24%</formula>
    </cfRule>
    <cfRule type="cellIs" dxfId="688" priority="29" operator="between">
      <formula>9%</formula>
      <formula>19%</formula>
    </cfRule>
    <cfRule type="cellIs" dxfId="687" priority="30" operator="lessThan">
      <formula>9%</formula>
    </cfRule>
  </conditionalFormatting>
  <conditionalFormatting sqref="S8:S27">
    <cfRule type="cellIs" dxfId="686" priority="19" operator="greaterThan">
      <formula>24%</formula>
    </cfRule>
    <cfRule type="cellIs" dxfId="685" priority="20" operator="between">
      <formula>20%</formula>
      <formula>24%</formula>
    </cfRule>
    <cfRule type="cellIs" dxfId="684" priority="21" operator="between">
      <formula>9%</formula>
      <formula>19%</formula>
    </cfRule>
    <cfRule type="cellIs" dxfId="683" priority="22" operator="lessThan">
      <formula>9%</formula>
    </cfRule>
  </conditionalFormatting>
  <conditionalFormatting sqref="T8:T27">
    <cfRule type="cellIs" dxfId="682" priority="15" operator="greaterThan">
      <formula>24%</formula>
    </cfRule>
    <cfRule type="cellIs" dxfId="681" priority="16" operator="between">
      <formula>20%</formula>
      <formula>24%</formula>
    </cfRule>
    <cfRule type="cellIs" dxfId="680" priority="17" operator="between">
      <formula>9%</formula>
      <formula>19%</formula>
    </cfRule>
    <cfRule type="cellIs" dxfId="679" priority="18" operator="lessThan">
      <formula>9%</formula>
    </cfRule>
  </conditionalFormatting>
  <conditionalFormatting sqref="U8:U27">
    <cfRule type="cellIs" dxfId="678" priority="11" operator="greaterThan">
      <formula>24%</formula>
    </cfRule>
    <cfRule type="cellIs" dxfId="677" priority="12" operator="between">
      <formula>20%</formula>
      <formula>24%</formula>
    </cfRule>
    <cfRule type="cellIs" dxfId="676" priority="13" operator="between">
      <formula>9%</formula>
      <formula>19%</formula>
    </cfRule>
    <cfRule type="cellIs" dxfId="675" priority="14" operator="lessThan">
      <formula>9%</formula>
    </cfRule>
  </conditionalFormatting>
  <conditionalFormatting sqref="AG8:AG27">
    <cfRule type="cellIs" dxfId="674" priority="7" operator="greaterThan">
      <formula>50%</formula>
    </cfRule>
    <cfRule type="cellIs" dxfId="673" priority="8" operator="between">
      <formula>37%</formula>
      <formula>50%</formula>
    </cfRule>
    <cfRule type="cellIs" dxfId="672" priority="9" operator="between">
      <formula>16%</formula>
      <formula>37%</formula>
    </cfRule>
    <cfRule type="cellIs" dxfId="671" priority="10" operator="lessThan">
      <formula>16%</formula>
    </cfRule>
  </conditionalFormatting>
  <conditionalFormatting sqref="AH8:AI27">
    <cfRule type="cellIs" dxfId="670" priority="3" operator="greaterThan">
      <formula>50%</formula>
    </cfRule>
    <cfRule type="cellIs" dxfId="669" priority="4" operator="between">
      <formula>37%</formula>
      <formula>50%</formula>
    </cfRule>
    <cfRule type="cellIs" dxfId="668" priority="5" operator="between">
      <formula>16%</formula>
      <formula>37%</formula>
    </cfRule>
    <cfRule type="cellIs" dxfId="667" priority="6" operator="lessThan">
      <formula>16%</formula>
    </cfRule>
  </conditionalFormatting>
  <conditionalFormatting sqref="AU8:AW8">
    <cfRule type="cellIs" dxfId="666" priority="2" operator="equal">
      <formula>0</formula>
    </cfRule>
  </conditionalFormatting>
  <conditionalFormatting sqref="AU9:AW24 AU26:AW27">
    <cfRule type="cellIs" dxfId="665" priority="1" operator="equal">
      <formula>0</formula>
    </cfRule>
  </conditionalFormatting>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159"/>
  <sheetViews>
    <sheetView showGridLines="0" topLeftCell="A6" zoomScale="96" zoomScaleNormal="96" zoomScalePageLayoutView="50" workbookViewId="0">
      <pane xSplit="3" ySplit="3" topLeftCell="E48" activePane="bottomRight" state="frozen"/>
      <selection activeCell="I54" sqref="I54"/>
      <selection pane="topRight" activeCell="I54" sqref="I54"/>
      <selection pane="bottomLeft" activeCell="I54" sqref="I54"/>
      <selection pane="bottomRight" activeCell="I54" sqref="I54"/>
    </sheetView>
  </sheetViews>
  <sheetFormatPr baseColWidth="10" defaultColWidth="11.42578125" defaultRowHeight="15" x14ac:dyDescent="0.25"/>
  <cols>
    <col min="1" max="1" width="13.7109375" customWidth="1"/>
    <col min="2" max="2" width="29" customWidth="1"/>
    <col min="3" max="3" width="12.140625" customWidth="1"/>
    <col min="4" max="4" width="51.42578125" customWidth="1"/>
    <col min="5" max="5" width="9.5703125" customWidth="1"/>
    <col min="6" max="6" width="17.42578125" customWidth="1"/>
    <col min="7" max="7" width="14.28515625" style="103" customWidth="1"/>
    <col min="8" max="8" width="14.28515625" customWidth="1"/>
    <col min="9" max="9" width="17.28515625" customWidth="1"/>
    <col min="10" max="10" width="16.28515625" customWidth="1"/>
    <col min="11" max="11" width="14.28515625" customWidth="1"/>
    <col min="12" max="12" width="11" customWidth="1"/>
    <col min="13" max="13" width="10.28515625" customWidth="1"/>
    <col min="14" max="14" width="10.140625" customWidth="1"/>
    <col min="15" max="15" width="9.140625" customWidth="1"/>
    <col min="16" max="16" width="8.28515625" customWidth="1"/>
    <col min="17" max="17" width="9.85546875" customWidth="1"/>
    <col min="18" max="18" width="10.140625" customWidth="1"/>
    <col min="19" max="21" width="11.5703125" customWidth="1"/>
    <col min="22" max="22" width="58.42578125" customWidth="1"/>
    <col min="23" max="23" width="17.28515625" customWidth="1"/>
    <col min="24" max="24" width="16.28515625" customWidth="1"/>
    <col min="25" max="25" width="14.28515625" customWidth="1"/>
    <col min="26" max="26" width="11" customWidth="1"/>
    <col min="27" max="27" width="10.28515625" customWidth="1"/>
    <col min="28" max="28" width="10.140625" customWidth="1"/>
    <col min="29" max="29" width="9.140625" customWidth="1"/>
    <col min="30" max="30" width="8.28515625" customWidth="1"/>
    <col min="31" max="31" width="9.85546875" customWidth="1"/>
    <col min="32" max="32" width="10.140625" customWidth="1"/>
    <col min="33" max="35" width="11.5703125" customWidth="1"/>
    <col min="36" max="36" width="58.42578125" customWidth="1"/>
    <col min="37" max="37" width="17.28515625" customWidth="1"/>
    <col min="38" max="38" width="16.28515625" customWidth="1"/>
    <col min="39" max="39" width="14.28515625" customWidth="1"/>
    <col min="40" max="40" width="11" customWidth="1"/>
    <col min="41" max="41" width="10.28515625" customWidth="1"/>
    <col min="42" max="42" width="10.140625" customWidth="1"/>
    <col min="43" max="43" width="9.140625" customWidth="1"/>
    <col min="44" max="44" width="8.28515625" customWidth="1"/>
    <col min="45" max="45" width="9.85546875" customWidth="1"/>
    <col min="46" max="46" width="10.140625" customWidth="1"/>
    <col min="47" max="49" width="11.5703125" customWidth="1"/>
    <col min="50" max="50" width="58.42578125" customWidth="1"/>
    <col min="51" max="51" width="11.42578125" customWidth="1"/>
  </cols>
  <sheetData>
    <row r="1" spans="1:50" ht="15.75" x14ac:dyDescent="0.25">
      <c r="A1" s="591"/>
      <c r="B1" s="589" t="s">
        <v>398</v>
      </c>
      <c r="C1" s="589"/>
      <c r="D1" s="589"/>
      <c r="E1" s="589"/>
      <c r="F1" s="589"/>
      <c r="G1" s="589"/>
      <c r="H1" s="589"/>
      <c r="I1" s="589"/>
      <c r="J1" s="589"/>
      <c r="K1" s="589"/>
      <c r="L1" s="589"/>
      <c r="M1" s="589"/>
      <c r="N1" s="589"/>
      <c r="O1" s="589"/>
      <c r="P1" s="589"/>
      <c r="Q1" s="589"/>
      <c r="R1" s="589"/>
      <c r="S1" s="589"/>
      <c r="T1" s="589"/>
      <c r="U1" s="589"/>
      <c r="V1" s="589"/>
      <c r="W1" s="589"/>
      <c r="X1" s="591"/>
      <c r="Y1" s="591"/>
      <c r="Z1" s="591"/>
      <c r="AA1" s="592" t="str">
        <f>B1</f>
        <v>UNIVERSIDAD SURCOLOMBIANA</v>
      </c>
      <c r="AB1" s="592"/>
      <c r="AC1" s="592"/>
      <c r="AD1" s="592"/>
      <c r="AE1" s="592"/>
      <c r="AF1" s="592"/>
      <c r="AG1" s="592"/>
      <c r="AH1" s="592"/>
      <c r="AI1" s="592"/>
      <c r="AJ1" s="591"/>
      <c r="AK1" s="362"/>
      <c r="AL1" s="591"/>
      <c r="AM1" s="591"/>
      <c r="AN1" s="591"/>
      <c r="AO1" s="592">
        <f>P1</f>
        <v>0</v>
      </c>
      <c r="AP1" s="592"/>
      <c r="AQ1" s="592"/>
      <c r="AR1" s="592"/>
      <c r="AS1" s="592"/>
      <c r="AT1" s="592"/>
      <c r="AU1" s="592"/>
      <c r="AV1" s="592"/>
      <c r="AW1" s="592"/>
      <c r="AX1" s="591"/>
    </row>
    <row r="2" spans="1:50" ht="15.75" x14ac:dyDescent="0.25">
      <c r="A2" s="591"/>
      <c r="B2" s="589" t="s">
        <v>399</v>
      </c>
      <c r="C2" s="589"/>
      <c r="D2" s="589"/>
      <c r="E2" s="589"/>
      <c r="F2" s="589"/>
      <c r="G2" s="589"/>
      <c r="H2" s="589"/>
      <c r="I2" s="589"/>
      <c r="J2" s="589"/>
      <c r="K2" s="589"/>
      <c r="L2" s="589"/>
      <c r="M2" s="589"/>
      <c r="N2" s="589"/>
      <c r="O2" s="589"/>
      <c r="P2" s="589"/>
      <c r="Q2" s="589"/>
      <c r="R2" s="589"/>
      <c r="S2" s="589"/>
      <c r="T2" s="589"/>
      <c r="U2" s="589"/>
      <c r="V2" s="589"/>
      <c r="W2" s="589"/>
      <c r="X2" s="591"/>
      <c r="Y2" s="591"/>
      <c r="Z2" s="591"/>
      <c r="AA2" s="592" t="str">
        <f>B2</f>
        <v>OFICINA DE PLANEACIÓN</v>
      </c>
      <c r="AB2" s="592"/>
      <c r="AC2" s="592"/>
      <c r="AD2" s="592"/>
      <c r="AE2" s="592"/>
      <c r="AF2" s="592"/>
      <c r="AG2" s="592"/>
      <c r="AH2" s="592"/>
      <c r="AI2" s="592"/>
      <c r="AJ2" s="591"/>
      <c r="AK2" s="362"/>
      <c r="AL2" s="591"/>
      <c r="AM2" s="591"/>
      <c r="AN2" s="591"/>
      <c r="AO2" s="592">
        <f>P2</f>
        <v>0</v>
      </c>
      <c r="AP2" s="592"/>
      <c r="AQ2" s="592"/>
      <c r="AR2" s="592"/>
      <c r="AS2" s="592"/>
      <c r="AT2" s="592"/>
      <c r="AU2" s="592"/>
      <c r="AV2" s="592"/>
      <c r="AW2" s="592"/>
      <c r="AX2" s="591"/>
    </row>
    <row r="3" spans="1:50" ht="18.75" customHeight="1" x14ac:dyDescent="0.25">
      <c r="A3" s="591"/>
      <c r="B3" s="590" t="s">
        <v>400</v>
      </c>
      <c r="C3" s="590"/>
      <c r="D3" s="590"/>
      <c r="E3" s="590"/>
      <c r="F3" s="590"/>
      <c r="G3" s="590"/>
      <c r="H3" s="590"/>
      <c r="I3" s="590"/>
      <c r="J3" s="590"/>
      <c r="K3" s="590"/>
      <c r="L3" s="590"/>
      <c r="M3" s="590"/>
      <c r="N3" s="590"/>
      <c r="O3" s="590"/>
      <c r="P3" s="590"/>
      <c r="Q3" s="590"/>
      <c r="R3" s="590"/>
      <c r="S3" s="590"/>
      <c r="T3" s="590"/>
      <c r="U3" s="590"/>
      <c r="V3" s="590"/>
      <c r="W3" s="590"/>
      <c r="X3" s="591"/>
      <c r="Y3" s="591"/>
      <c r="Z3" s="591"/>
      <c r="AA3" s="593" t="str">
        <f>B3</f>
        <v>SEGUIMIENTO AL PLAN DE DESARROLLO</v>
      </c>
      <c r="AB3" s="593"/>
      <c r="AC3" s="593"/>
      <c r="AD3" s="593"/>
      <c r="AE3" s="593"/>
      <c r="AF3" s="593"/>
      <c r="AG3" s="593"/>
      <c r="AH3" s="593"/>
      <c r="AI3" s="593"/>
      <c r="AJ3" s="591"/>
      <c r="AK3" s="362"/>
      <c r="AL3" s="591"/>
      <c r="AM3" s="591"/>
      <c r="AN3" s="591"/>
      <c r="AO3" s="593">
        <f>P3</f>
        <v>0</v>
      </c>
      <c r="AP3" s="593"/>
      <c r="AQ3" s="593"/>
      <c r="AR3" s="593"/>
      <c r="AS3" s="593"/>
      <c r="AT3" s="593"/>
      <c r="AU3" s="593"/>
      <c r="AV3" s="593"/>
      <c r="AW3" s="593"/>
      <c r="AX3" s="591"/>
    </row>
    <row r="4" spans="1:50" ht="15.75" x14ac:dyDescent="0.25">
      <c r="A4" s="73" t="s">
        <v>401</v>
      </c>
      <c r="B4" s="547" t="s">
        <v>402</v>
      </c>
      <c r="C4" s="547"/>
      <c r="D4" s="73" t="s">
        <v>403</v>
      </c>
      <c r="E4" s="547">
        <v>1</v>
      </c>
      <c r="F4" s="547"/>
      <c r="G4" s="589" t="s">
        <v>404</v>
      </c>
      <c r="H4" s="589"/>
      <c r="I4" s="590">
        <v>2016</v>
      </c>
      <c r="J4" s="590"/>
      <c r="K4" s="590"/>
      <c r="L4" s="75" t="s">
        <v>401</v>
      </c>
      <c r="M4" s="547" t="e">
        <f>#REF!</f>
        <v>#REF!</v>
      </c>
      <c r="N4" s="547"/>
      <c r="O4" s="547"/>
      <c r="P4" s="589" t="e">
        <f>#REF!</f>
        <v>#REF!</v>
      </c>
      <c r="Q4" s="589"/>
      <c r="R4" s="547" t="e">
        <f>#REF!</f>
        <v>#REF!</v>
      </c>
      <c r="S4" s="547"/>
      <c r="T4" s="589" t="e">
        <f>#REF!</f>
        <v>#REF!</v>
      </c>
      <c r="U4" s="589"/>
      <c r="V4" s="234">
        <f>I4</f>
        <v>2016</v>
      </c>
      <c r="W4" s="590">
        <v>2016</v>
      </c>
      <c r="X4" s="590"/>
      <c r="Y4" s="590"/>
      <c r="Z4" s="75" t="s">
        <v>401</v>
      </c>
      <c r="AA4" s="547" t="str">
        <f>B4</f>
        <v>ES-PLA-FO-04</v>
      </c>
      <c r="AB4" s="547"/>
      <c r="AC4" s="547"/>
      <c r="AD4" s="589" t="str">
        <f>D4</f>
        <v>VERSION</v>
      </c>
      <c r="AE4" s="589"/>
      <c r="AF4" s="547">
        <f>E4</f>
        <v>1</v>
      </c>
      <c r="AG4" s="547"/>
      <c r="AH4" s="589" t="str">
        <f>G4</f>
        <v>VIGENCIA</v>
      </c>
      <c r="AI4" s="589"/>
      <c r="AJ4" s="76">
        <f>W4</f>
        <v>2016</v>
      </c>
      <c r="AK4" s="590">
        <v>2016</v>
      </c>
      <c r="AL4" s="590"/>
      <c r="AM4" s="590"/>
      <c r="AN4" s="75" t="s">
        <v>401</v>
      </c>
      <c r="AO4" s="547" t="e">
        <f>P4</f>
        <v>#REF!</v>
      </c>
      <c r="AP4" s="547"/>
      <c r="AQ4" s="547"/>
      <c r="AR4" s="589" t="e">
        <f>R4</f>
        <v>#REF!</v>
      </c>
      <c r="AS4" s="589"/>
      <c r="AT4" s="547">
        <f>S4</f>
        <v>0</v>
      </c>
      <c r="AU4" s="547"/>
      <c r="AV4" s="589">
        <f>U4</f>
        <v>0</v>
      </c>
      <c r="AW4" s="589"/>
      <c r="AX4" s="336">
        <f>AK4</f>
        <v>2016</v>
      </c>
    </row>
    <row r="6" spans="1:50" ht="15" customHeight="1" x14ac:dyDescent="0.25">
      <c r="A6" s="491" t="s">
        <v>9</v>
      </c>
      <c r="B6" s="491" t="s">
        <v>10</v>
      </c>
      <c r="C6" s="491" t="s">
        <v>11</v>
      </c>
      <c r="D6" s="491" t="s">
        <v>12</v>
      </c>
      <c r="E6" s="609" t="s">
        <v>13</v>
      </c>
      <c r="F6" s="491" t="s">
        <v>14</v>
      </c>
      <c r="G6" s="491" t="s">
        <v>15</v>
      </c>
      <c r="H6" s="491" t="s">
        <v>16</v>
      </c>
      <c r="I6" s="602" t="s">
        <v>0</v>
      </c>
      <c r="J6" s="475" t="s">
        <v>1</v>
      </c>
      <c r="K6" s="475" t="s">
        <v>2</v>
      </c>
      <c r="L6" s="599" t="s">
        <v>3</v>
      </c>
      <c r="M6" s="599"/>
      <c r="N6" s="599"/>
      <c r="O6" s="599"/>
      <c r="P6" s="599"/>
      <c r="Q6" s="599"/>
      <c r="R6" s="599" t="s">
        <v>4</v>
      </c>
      <c r="S6" s="603" t="s">
        <v>733</v>
      </c>
      <c r="T6" s="604" t="s">
        <v>6</v>
      </c>
      <c r="U6" s="603" t="s">
        <v>7</v>
      </c>
      <c r="V6" s="532" t="s">
        <v>8</v>
      </c>
      <c r="W6" s="602" t="s">
        <v>0</v>
      </c>
      <c r="X6" s="475" t="s">
        <v>1</v>
      </c>
      <c r="Y6" s="475" t="s">
        <v>2</v>
      </c>
      <c r="Z6" s="599" t="s">
        <v>3</v>
      </c>
      <c r="AA6" s="599"/>
      <c r="AB6" s="599"/>
      <c r="AC6" s="599"/>
      <c r="AD6" s="599"/>
      <c r="AE6" s="599"/>
      <c r="AF6" s="599" t="s">
        <v>4</v>
      </c>
      <c r="AG6" s="603" t="s">
        <v>733</v>
      </c>
      <c r="AH6" s="604" t="s">
        <v>6</v>
      </c>
      <c r="AI6" s="603" t="s">
        <v>7</v>
      </c>
      <c r="AJ6" s="532" t="s">
        <v>8</v>
      </c>
      <c r="AK6" s="602" t="s">
        <v>0</v>
      </c>
      <c r="AL6" s="475" t="s">
        <v>1</v>
      </c>
      <c r="AM6" s="475" t="s">
        <v>2</v>
      </c>
      <c r="AN6" s="599" t="s">
        <v>3</v>
      </c>
      <c r="AO6" s="599"/>
      <c r="AP6" s="599"/>
      <c r="AQ6" s="599"/>
      <c r="AR6" s="599"/>
      <c r="AS6" s="599"/>
      <c r="AT6" s="599" t="s">
        <v>4</v>
      </c>
      <c r="AU6" s="603" t="s">
        <v>733</v>
      </c>
      <c r="AV6" s="604" t="s">
        <v>6</v>
      </c>
      <c r="AW6" s="603" t="s">
        <v>7</v>
      </c>
      <c r="AX6" s="532" t="s">
        <v>8</v>
      </c>
    </row>
    <row r="7" spans="1:50" ht="28.5" customHeight="1" x14ac:dyDescent="0.25">
      <c r="A7" s="491"/>
      <c r="B7" s="491"/>
      <c r="C7" s="491"/>
      <c r="D7" s="491"/>
      <c r="E7" s="609"/>
      <c r="F7" s="491"/>
      <c r="G7" s="491"/>
      <c r="H7" s="491"/>
      <c r="I7" s="602"/>
      <c r="J7" s="475"/>
      <c r="K7" s="475"/>
      <c r="L7" s="599" t="s">
        <v>734</v>
      </c>
      <c r="M7" s="599"/>
      <c r="N7" s="599" t="s">
        <v>735</v>
      </c>
      <c r="O7" s="599"/>
      <c r="P7" s="599" t="s">
        <v>736</v>
      </c>
      <c r="Q7" s="599"/>
      <c r="R7" s="599"/>
      <c r="S7" s="603"/>
      <c r="T7" s="604"/>
      <c r="U7" s="603"/>
      <c r="V7" s="532"/>
      <c r="W7" s="602"/>
      <c r="X7" s="475"/>
      <c r="Y7" s="475"/>
      <c r="Z7" s="599" t="s">
        <v>392</v>
      </c>
      <c r="AA7" s="599"/>
      <c r="AB7" s="599" t="s">
        <v>487</v>
      </c>
      <c r="AC7" s="599"/>
      <c r="AD7" s="599" t="s">
        <v>397</v>
      </c>
      <c r="AE7" s="599"/>
      <c r="AF7" s="599"/>
      <c r="AG7" s="603"/>
      <c r="AH7" s="604"/>
      <c r="AI7" s="603"/>
      <c r="AJ7" s="532"/>
      <c r="AK7" s="602"/>
      <c r="AL7" s="475"/>
      <c r="AM7" s="475"/>
      <c r="AN7" s="599" t="s">
        <v>838</v>
      </c>
      <c r="AO7" s="599"/>
      <c r="AP7" s="599" t="s">
        <v>839</v>
      </c>
      <c r="AQ7" s="599"/>
      <c r="AR7" s="599" t="s">
        <v>840</v>
      </c>
      <c r="AS7" s="599"/>
      <c r="AT7" s="599"/>
      <c r="AU7" s="603"/>
      <c r="AV7" s="604"/>
      <c r="AW7" s="603"/>
      <c r="AX7" s="532"/>
    </row>
    <row r="8" spans="1:50" ht="23.25" customHeight="1" x14ac:dyDescent="0.25">
      <c r="A8" s="491"/>
      <c r="B8" s="491"/>
      <c r="C8" s="491"/>
      <c r="D8" s="491"/>
      <c r="E8" s="609"/>
      <c r="F8" s="491"/>
      <c r="G8" s="491"/>
      <c r="H8" s="491"/>
      <c r="I8" s="491" t="s">
        <v>17</v>
      </c>
      <c r="J8" s="491"/>
      <c r="K8" s="491"/>
      <c r="L8" s="235" t="s">
        <v>18</v>
      </c>
      <c r="M8" s="235" t="s">
        <v>19</v>
      </c>
      <c r="N8" s="235" t="s">
        <v>18</v>
      </c>
      <c r="O8" s="235" t="s">
        <v>19</v>
      </c>
      <c r="P8" s="235" t="s">
        <v>18</v>
      </c>
      <c r="Q8" s="235" t="s">
        <v>19</v>
      </c>
      <c r="R8" s="599"/>
      <c r="S8" s="533" t="s">
        <v>20</v>
      </c>
      <c r="T8" s="533"/>
      <c r="U8" s="533"/>
      <c r="V8" s="532"/>
      <c r="W8" s="491" t="s">
        <v>17</v>
      </c>
      <c r="X8" s="491"/>
      <c r="Y8" s="491"/>
      <c r="Z8" s="74" t="s">
        <v>18</v>
      </c>
      <c r="AA8" s="74" t="s">
        <v>19</v>
      </c>
      <c r="AB8" s="74" t="s">
        <v>18</v>
      </c>
      <c r="AC8" s="74" t="s">
        <v>19</v>
      </c>
      <c r="AD8" s="74" t="s">
        <v>18</v>
      </c>
      <c r="AE8" s="74" t="s">
        <v>19</v>
      </c>
      <c r="AF8" s="599"/>
      <c r="AG8" s="533" t="s">
        <v>20</v>
      </c>
      <c r="AH8" s="533"/>
      <c r="AI8" s="533"/>
      <c r="AJ8" s="532"/>
      <c r="AK8" s="491" t="s">
        <v>17</v>
      </c>
      <c r="AL8" s="491"/>
      <c r="AM8" s="491"/>
      <c r="AN8" s="340" t="s">
        <v>18</v>
      </c>
      <c r="AO8" s="340" t="s">
        <v>19</v>
      </c>
      <c r="AP8" s="340" t="s">
        <v>18</v>
      </c>
      <c r="AQ8" s="340" t="s">
        <v>19</v>
      </c>
      <c r="AR8" s="340" t="s">
        <v>18</v>
      </c>
      <c r="AS8" s="340" t="s">
        <v>19</v>
      </c>
      <c r="AT8" s="599"/>
      <c r="AU8" s="533" t="s">
        <v>20</v>
      </c>
      <c r="AV8" s="533"/>
      <c r="AW8" s="533"/>
      <c r="AX8" s="532"/>
    </row>
    <row r="9" spans="1:50" ht="63.75" customHeight="1" x14ac:dyDescent="0.25">
      <c r="A9" s="607" t="s">
        <v>21</v>
      </c>
      <c r="B9" s="471" t="s">
        <v>22</v>
      </c>
      <c r="C9" s="257" t="str">
        <f>Asignación!A3</f>
        <v>SF-PY1.1</v>
      </c>
      <c r="D9" s="258" t="str">
        <f>Asignación!B3</f>
        <v>Actividades de Inducción y Reinducción con docentes, estudiantes y Administrativos para promover el conocimiento de la Teleología.</v>
      </c>
      <c r="E9" s="257">
        <f>Asignación!C3</f>
        <v>510</v>
      </c>
      <c r="F9" s="4" t="s">
        <v>25</v>
      </c>
      <c r="G9" s="331" t="e">
        <f>#REF!</f>
        <v>#REF!</v>
      </c>
      <c r="H9" s="558" t="e">
        <f>#REF!</f>
        <v>#REF!</v>
      </c>
      <c r="I9" s="5">
        <f>Asignación!K3</f>
        <v>44000000</v>
      </c>
      <c r="J9" s="5" t="e">
        <f>#REF!</f>
        <v>#REF!</v>
      </c>
      <c r="K9" s="5" t="e">
        <f>I9-J9</f>
        <v>#REF!</v>
      </c>
      <c r="L9" s="233">
        <f>'S. BIENESTAR'!L4</f>
        <v>8</v>
      </c>
      <c r="M9" s="246" t="e">
        <f>#REF!</f>
        <v>#REF!</v>
      </c>
      <c r="N9" s="246" t="e">
        <f>#REF!</f>
        <v>#REF!</v>
      </c>
      <c r="O9" s="246" t="e">
        <f>#REF!</f>
        <v>#REF!</v>
      </c>
      <c r="P9" s="246" t="e">
        <f>#REF!</f>
        <v>#REF!</v>
      </c>
      <c r="Q9" s="246" t="e">
        <f>#REF!</f>
        <v>#REF!</v>
      </c>
      <c r="R9" s="246" t="e">
        <f>#REF!</f>
        <v>#REF!</v>
      </c>
      <c r="S9" s="267">
        <f>IFERROR((J9/I9),0)</f>
        <v>0</v>
      </c>
      <c r="T9" s="267" t="e">
        <f>M9+O9+Q9</f>
        <v>#REF!</v>
      </c>
      <c r="U9" s="267" t="e">
        <f>(S9+T9)/2</f>
        <v>#REF!</v>
      </c>
      <c r="V9" s="8" t="e">
        <f>#REF!</f>
        <v>#REF!</v>
      </c>
      <c r="W9" s="5" t="e">
        <f>#REF!</f>
        <v>#REF!</v>
      </c>
      <c r="X9" s="5" t="e">
        <f>#REF!</f>
        <v>#REF!</v>
      </c>
      <c r="Y9" s="5" t="e">
        <f>#REF!</f>
        <v>#REF!</v>
      </c>
      <c r="Z9" s="31" t="e">
        <f>#REF!</f>
        <v>#REF!</v>
      </c>
      <c r="AA9" s="271" t="e">
        <f>#REF!</f>
        <v>#REF!</v>
      </c>
      <c r="AB9" s="262" t="e">
        <f>#REF!</f>
        <v>#REF!</v>
      </c>
      <c r="AC9" s="271" t="e">
        <f>#REF!</f>
        <v>#REF!</v>
      </c>
      <c r="AD9" s="262" t="e">
        <f>#REF!</f>
        <v>#REF!</v>
      </c>
      <c r="AE9" s="271" t="e">
        <f>#REF!</f>
        <v>#REF!</v>
      </c>
      <c r="AF9" s="262" t="e">
        <f>#REF!</f>
        <v>#REF!</v>
      </c>
      <c r="AG9" s="98">
        <f>IFERROR((X9/W9),0)</f>
        <v>0</v>
      </c>
      <c r="AH9" s="249" t="e">
        <f>AA9+AC9+AE9</f>
        <v>#REF!</v>
      </c>
      <c r="AI9" s="249" t="e">
        <f>(AG9+AH9)/2</f>
        <v>#REF!</v>
      </c>
      <c r="AJ9" s="8" t="e">
        <f>#REF!</f>
        <v>#REF!</v>
      </c>
      <c r="AK9" s="5" t="e">
        <f>#REF!</f>
        <v>#REF!</v>
      </c>
      <c r="AL9" s="5" t="e">
        <f>#REF!</f>
        <v>#REF!</v>
      </c>
      <c r="AM9" s="5" t="e">
        <f>#REF!</f>
        <v>#REF!</v>
      </c>
      <c r="AN9" s="332" t="e">
        <f>#REF!</f>
        <v>#REF!</v>
      </c>
      <c r="AO9" s="350" t="e">
        <f>#REF!</f>
        <v>#REF!</v>
      </c>
      <c r="AP9" s="332" t="e">
        <f>#REF!</f>
        <v>#REF!</v>
      </c>
      <c r="AQ9" s="350" t="e">
        <f>#REF!</f>
        <v>#REF!</v>
      </c>
      <c r="AR9" s="332" t="e">
        <f>#REF!</f>
        <v>#REF!</v>
      </c>
      <c r="AS9" s="350" t="e">
        <f>#REF!</f>
        <v>#REF!</v>
      </c>
      <c r="AT9" s="332" t="e">
        <f>#REF!</f>
        <v>#REF!</v>
      </c>
      <c r="AU9" s="363">
        <f>IFERROR((AL9/AK9),0)</f>
        <v>0</v>
      </c>
      <c r="AV9" s="363" t="e">
        <f>AO9+AQ9+AS9</f>
        <v>#REF!</v>
      </c>
      <c r="AW9" s="363" t="e">
        <f>(AU9+AV9)/2</f>
        <v>#REF!</v>
      </c>
      <c r="AX9" s="8" t="e">
        <f>#REF!</f>
        <v>#REF!</v>
      </c>
    </row>
    <row r="10" spans="1:50" ht="74.25" customHeight="1" x14ac:dyDescent="0.25">
      <c r="A10" s="594"/>
      <c r="B10" s="471"/>
      <c r="C10" s="257" t="str">
        <f>Asignación!A4</f>
        <v>SF-PY1.2</v>
      </c>
      <c r="D10" s="258" t="str">
        <f>Asignación!B4</f>
        <v>Actividades para promover la Apropiación de la teleología Institucional. (Misión, La Visión, el Proyecto Educativo Institucional PEU).</v>
      </c>
      <c r="E10" s="257">
        <f>Asignación!C4</f>
        <v>510</v>
      </c>
      <c r="F10" s="4" t="s">
        <v>28</v>
      </c>
      <c r="G10" s="331">
        <v>1150</v>
      </c>
      <c r="H10" s="559"/>
      <c r="I10" s="5">
        <f>Asignación!K4</f>
        <v>53854378</v>
      </c>
      <c r="J10" s="5" t="e">
        <f>#REF!</f>
        <v>#REF!</v>
      </c>
      <c r="K10" s="5" t="e">
        <f t="shared" ref="K10:K18" si="0">I10-J10</f>
        <v>#REF!</v>
      </c>
      <c r="L10" s="246" t="e">
        <f>#REF!</f>
        <v>#REF!</v>
      </c>
      <c r="M10" s="246" t="e">
        <f>#REF!</f>
        <v>#REF!</v>
      </c>
      <c r="N10" s="246" t="e">
        <f>#REF!</f>
        <v>#REF!</v>
      </c>
      <c r="O10" s="246" t="e">
        <f>#REF!</f>
        <v>#REF!</v>
      </c>
      <c r="P10" s="246" t="e">
        <f>#REF!</f>
        <v>#REF!</v>
      </c>
      <c r="Q10" s="246" t="e">
        <f>#REF!</f>
        <v>#REF!</v>
      </c>
      <c r="R10" s="246" t="e">
        <f>#REF!</f>
        <v>#REF!</v>
      </c>
      <c r="S10" s="267">
        <f t="shared" ref="S10:S67" si="1">IFERROR((J10/I10),0)</f>
        <v>0</v>
      </c>
      <c r="T10" s="267" t="e">
        <f t="shared" ref="T10:T30" si="2">M10+O10+Q10</f>
        <v>#REF!</v>
      </c>
      <c r="U10" s="267" t="e">
        <f t="shared" ref="U10:U30" si="3">(S10+T10)/2</f>
        <v>#REF!</v>
      </c>
      <c r="V10" s="8" t="e">
        <f>#REF!</f>
        <v>#REF!</v>
      </c>
      <c r="W10" s="5" t="e">
        <f>#REF!</f>
        <v>#REF!</v>
      </c>
      <c r="X10" s="5" t="e">
        <f>#REF!</f>
        <v>#REF!</v>
      </c>
      <c r="Y10" s="5" t="e">
        <f>#REF!</f>
        <v>#REF!</v>
      </c>
      <c r="Z10" s="262" t="e">
        <f>#REF!</f>
        <v>#REF!</v>
      </c>
      <c r="AA10" s="271" t="e">
        <f>#REF!</f>
        <v>#REF!</v>
      </c>
      <c r="AB10" s="262" t="e">
        <f>#REF!</f>
        <v>#REF!</v>
      </c>
      <c r="AC10" s="271" t="e">
        <f>#REF!</f>
        <v>#REF!</v>
      </c>
      <c r="AD10" s="262" t="e">
        <f>#REF!</f>
        <v>#REF!</v>
      </c>
      <c r="AE10" s="271" t="e">
        <f>#REF!</f>
        <v>#REF!</v>
      </c>
      <c r="AF10" s="262" t="e">
        <f>#REF!</f>
        <v>#REF!</v>
      </c>
      <c r="AG10" s="249">
        <f t="shared" ref="AG10:AG67" si="4">IFERROR((X10/W10),0)</f>
        <v>0</v>
      </c>
      <c r="AH10" s="249" t="e">
        <f t="shared" ref="AH10:AH30" si="5">AA10+AC10+AE10</f>
        <v>#REF!</v>
      </c>
      <c r="AI10" s="249" t="e">
        <f t="shared" ref="AI10:AI73" si="6">(AG10+AH10)/2</f>
        <v>#REF!</v>
      </c>
      <c r="AJ10" s="8" t="e">
        <f>#REF!</f>
        <v>#REF!</v>
      </c>
      <c r="AK10" s="5" t="e">
        <f>#REF!</f>
        <v>#REF!</v>
      </c>
      <c r="AL10" s="5" t="e">
        <f>#REF!</f>
        <v>#REF!</v>
      </c>
      <c r="AM10" s="5" t="e">
        <f>#REF!</f>
        <v>#REF!</v>
      </c>
      <c r="AN10" s="332" t="e">
        <f>#REF!</f>
        <v>#REF!</v>
      </c>
      <c r="AO10" s="350" t="e">
        <f>#REF!</f>
        <v>#REF!</v>
      </c>
      <c r="AP10" s="332" t="e">
        <f>#REF!</f>
        <v>#REF!</v>
      </c>
      <c r="AQ10" s="350" t="e">
        <f>#REF!</f>
        <v>#REF!</v>
      </c>
      <c r="AR10" s="332" t="e">
        <f>#REF!</f>
        <v>#REF!</v>
      </c>
      <c r="AS10" s="350" t="e">
        <f>#REF!</f>
        <v>#REF!</v>
      </c>
      <c r="AT10" s="332" t="e">
        <f>#REF!</f>
        <v>#REF!</v>
      </c>
      <c r="AU10" s="363">
        <f t="shared" ref="AU10:AU30" si="7">IFERROR((AL10/AK10),0)</f>
        <v>0</v>
      </c>
      <c r="AV10" s="363" t="e">
        <f t="shared" ref="AV10:AV30" si="8">AO10+AQ10+AS10</f>
        <v>#REF!</v>
      </c>
      <c r="AW10" s="363" t="e">
        <f t="shared" ref="AW10:AW30" si="9">(AU10+AV10)/2</f>
        <v>#REF!</v>
      </c>
      <c r="AX10" s="8" t="e">
        <f>#REF!</f>
        <v>#REF!</v>
      </c>
    </row>
    <row r="11" spans="1:50" ht="57.75" customHeight="1" x14ac:dyDescent="0.25">
      <c r="A11" s="594"/>
      <c r="B11" s="471"/>
      <c r="C11" s="257" t="str">
        <f>Asignación!A5</f>
        <v>SF-PY1.3</v>
      </c>
      <c r="D11" s="258" t="str">
        <f>Asignación!B5</f>
        <v>Promoción de la imagen corporativa institucional, portafolio de servicios-oferta académica.</v>
      </c>
      <c r="E11" s="257">
        <f>Asignación!C5</f>
        <v>510</v>
      </c>
      <c r="F11" s="4" t="s">
        <v>31</v>
      </c>
      <c r="G11" s="331">
        <v>1150</v>
      </c>
      <c r="H11" s="581"/>
      <c r="I11" s="5">
        <f>Asignación!K5</f>
        <v>29594219</v>
      </c>
      <c r="J11" s="5" t="e">
        <f>#REF!</f>
        <v>#REF!</v>
      </c>
      <c r="K11" s="5" t="e">
        <f t="shared" si="0"/>
        <v>#REF!</v>
      </c>
      <c r="L11" s="246" t="e">
        <f>#REF!</f>
        <v>#REF!</v>
      </c>
      <c r="M11" s="246" t="e">
        <f>#REF!</f>
        <v>#REF!</v>
      </c>
      <c r="N11" s="246" t="e">
        <f>#REF!</f>
        <v>#REF!</v>
      </c>
      <c r="O11" s="246" t="e">
        <f>#REF!</f>
        <v>#REF!</v>
      </c>
      <c r="P11" s="246" t="e">
        <f>#REF!</f>
        <v>#REF!</v>
      </c>
      <c r="Q11" s="246" t="e">
        <f>#REF!</f>
        <v>#REF!</v>
      </c>
      <c r="R11" s="246" t="e">
        <f>#REF!</f>
        <v>#REF!</v>
      </c>
      <c r="S11" s="267">
        <f t="shared" si="1"/>
        <v>0</v>
      </c>
      <c r="T11" s="267" t="e">
        <f t="shared" si="2"/>
        <v>#REF!</v>
      </c>
      <c r="U11" s="267" t="e">
        <f t="shared" si="3"/>
        <v>#REF!</v>
      </c>
      <c r="V11" s="8" t="e">
        <f>#REF!</f>
        <v>#REF!</v>
      </c>
      <c r="W11" s="5" t="e">
        <f>#REF!</f>
        <v>#REF!</v>
      </c>
      <c r="X11" s="5" t="e">
        <f>#REF!</f>
        <v>#REF!</v>
      </c>
      <c r="Y11" s="5" t="e">
        <f>#REF!</f>
        <v>#REF!</v>
      </c>
      <c r="Z11" s="262" t="e">
        <f>#REF!</f>
        <v>#REF!</v>
      </c>
      <c r="AA11" s="271" t="e">
        <f>#REF!</f>
        <v>#REF!</v>
      </c>
      <c r="AB11" s="262" t="e">
        <f>#REF!</f>
        <v>#REF!</v>
      </c>
      <c r="AC11" s="271" t="e">
        <f>#REF!</f>
        <v>#REF!</v>
      </c>
      <c r="AD11" s="262" t="e">
        <f>#REF!</f>
        <v>#REF!</v>
      </c>
      <c r="AE11" s="271" t="e">
        <f>#REF!</f>
        <v>#REF!</v>
      </c>
      <c r="AF11" s="262" t="e">
        <f>#REF!</f>
        <v>#REF!</v>
      </c>
      <c r="AG11" s="249">
        <f t="shared" si="4"/>
        <v>0</v>
      </c>
      <c r="AH11" s="249" t="e">
        <f t="shared" si="5"/>
        <v>#REF!</v>
      </c>
      <c r="AI11" s="249" t="e">
        <f t="shared" si="6"/>
        <v>#REF!</v>
      </c>
      <c r="AJ11" s="8" t="e">
        <f>#REF!</f>
        <v>#REF!</v>
      </c>
      <c r="AK11" s="5" t="e">
        <f>#REF!</f>
        <v>#REF!</v>
      </c>
      <c r="AL11" s="5" t="e">
        <f>#REF!</f>
        <v>#REF!</v>
      </c>
      <c r="AM11" s="5" t="e">
        <f>#REF!</f>
        <v>#REF!</v>
      </c>
      <c r="AN11" s="332" t="e">
        <f>#REF!</f>
        <v>#REF!</v>
      </c>
      <c r="AO11" s="350" t="e">
        <f>#REF!</f>
        <v>#REF!</v>
      </c>
      <c r="AP11" s="332" t="e">
        <f>#REF!</f>
        <v>#REF!</v>
      </c>
      <c r="AQ11" s="350" t="e">
        <f>#REF!</f>
        <v>#REF!</v>
      </c>
      <c r="AR11" s="332" t="e">
        <f>#REF!</f>
        <v>#REF!</v>
      </c>
      <c r="AS11" s="350" t="e">
        <f>#REF!</f>
        <v>#REF!</v>
      </c>
      <c r="AT11" s="332" t="e">
        <f>#REF!</f>
        <v>#REF!</v>
      </c>
      <c r="AU11" s="363">
        <f t="shared" si="7"/>
        <v>0</v>
      </c>
      <c r="AV11" s="363" t="e">
        <f t="shared" si="8"/>
        <v>#REF!</v>
      </c>
      <c r="AW11" s="363" t="e">
        <f t="shared" si="9"/>
        <v>#REF!</v>
      </c>
      <c r="AX11" s="8" t="e">
        <f>#REF!</f>
        <v>#REF!</v>
      </c>
    </row>
    <row r="12" spans="1:50" ht="51.75" customHeight="1" x14ac:dyDescent="0.25">
      <c r="A12" s="594"/>
      <c r="B12" s="219" t="s">
        <v>32</v>
      </c>
      <c r="C12" s="257" t="str">
        <f>Asignación!A6</f>
        <v>SF-PY2.1</v>
      </c>
      <c r="D12" s="258" t="str">
        <f>Asignación!B6</f>
        <v>Apoyo a la realización de estudios y diseños para la creación de programas de pregrado y postgrados.</v>
      </c>
      <c r="E12" s="257">
        <f>Asignación!C6</f>
        <v>510</v>
      </c>
      <c r="F12" s="4" t="s">
        <v>35</v>
      </c>
      <c r="G12" s="94" t="e">
        <f>#REF!</f>
        <v>#REF!</v>
      </c>
      <c r="H12" s="94" t="e">
        <f>#REF!</f>
        <v>#REF!</v>
      </c>
      <c r="I12" s="5">
        <f>Asignación!K6</f>
        <v>36000000</v>
      </c>
      <c r="J12" s="5" t="e">
        <f>#REF!</f>
        <v>#REF!</v>
      </c>
      <c r="K12" s="5" t="e">
        <f t="shared" si="0"/>
        <v>#REF!</v>
      </c>
      <c r="L12" s="246" t="e">
        <f>#REF!</f>
        <v>#REF!</v>
      </c>
      <c r="M12" s="246" t="e">
        <f>#REF!</f>
        <v>#REF!</v>
      </c>
      <c r="N12" s="246" t="e">
        <f>#REF!</f>
        <v>#REF!</v>
      </c>
      <c r="O12" s="246" t="e">
        <f>#REF!</f>
        <v>#REF!</v>
      </c>
      <c r="P12" s="246" t="e">
        <f>#REF!</f>
        <v>#REF!</v>
      </c>
      <c r="Q12" s="246" t="e">
        <f>#REF!</f>
        <v>#REF!</v>
      </c>
      <c r="R12" s="246" t="e">
        <f>#REF!</f>
        <v>#REF!</v>
      </c>
      <c r="S12" s="267">
        <f t="shared" si="1"/>
        <v>0</v>
      </c>
      <c r="T12" s="267" t="e">
        <f t="shared" si="2"/>
        <v>#REF!</v>
      </c>
      <c r="U12" s="267" t="e">
        <f t="shared" si="3"/>
        <v>#REF!</v>
      </c>
      <c r="V12" s="8" t="e">
        <f>#REF!</f>
        <v>#REF!</v>
      </c>
      <c r="W12" s="5" t="e">
        <f>#REF!</f>
        <v>#REF!</v>
      </c>
      <c r="X12" s="5" t="e">
        <f>#REF!</f>
        <v>#REF!</v>
      </c>
      <c r="Y12" s="5" t="e">
        <f>#REF!</f>
        <v>#REF!</v>
      </c>
      <c r="Z12" s="262" t="e">
        <f>#REF!</f>
        <v>#REF!</v>
      </c>
      <c r="AA12" s="271" t="e">
        <f>#REF!</f>
        <v>#REF!</v>
      </c>
      <c r="AB12" s="262" t="e">
        <f>#REF!</f>
        <v>#REF!</v>
      </c>
      <c r="AC12" s="271" t="e">
        <f>#REF!</f>
        <v>#REF!</v>
      </c>
      <c r="AD12" s="262" t="e">
        <f>#REF!</f>
        <v>#REF!</v>
      </c>
      <c r="AE12" s="271" t="e">
        <f>#REF!</f>
        <v>#REF!</v>
      </c>
      <c r="AF12" s="262" t="e">
        <f>#REF!</f>
        <v>#REF!</v>
      </c>
      <c r="AG12" s="249">
        <f t="shared" si="4"/>
        <v>0</v>
      </c>
      <c r="AH12" s="249" t="e">
        <f t="shared" si="5"/>
        <v>#REF!</v>
      </c>
      <c r="AI12" s="249" t="e">
        <f t="shared" si="6"/>
        <v>#REF!</v>
      </c>
      <c r="AJ12" s="8" t="e">
        <f>#REF!</f>
        <v>#REF!</v>
      </c>
      <c r="AK12" s="5" t="e">
        <f>#REF!</f>
        <v>#REF!</v>
      </c>
      <c r="AL12" s="5" t="e">
        <f>#REF!</f>
        <v>#REF!</v>
      </c>
      <c r="AM12" s="5" t="e">
        <f>#REF!</f>
        <v>#REF!</v>
      </c>
      <c r="AN12" s="332" t="e">
        <f>#REF!</f>
        <v>#REF!</v>
      </c>
      <c r="AO12" s="350" t="e">
        <f>#REF!</f>
        <v>#REF!</v>
      </c>
      <c r="AP12" s="332" t="e">
        <f>#REF!</f>
        <v>#REF!</v>
      </c>
      <c r="AQ12" s="350" t="e">
        <f>#REF!</f>
        <v>#REF!</v>
      </c>
      <c r="AR12" s="332" t="e">
        <f>#REF!</f>
        <v>#REF!</v>
      </c>
      <c r="AS12" s="350" t="e">
        <f>#REF!</f>
        <v>#REF!</v>
      </c>
      <c r="AT12" s="332" t="e">
        <f>#REF!</f>
        <v>#REF!</v>
      </c>
      <c r="AU12" s="363">
        <f t="shared" si="7"/>
        <v>0</v>
      </c>
      <c r="AV12" s="363" t="e">
        <f t="shared" si="8"/>
        <v>#REF!</v>
      </c>
      <c r="AW12" s="363" t="e">
        <f t="shared" si="9"/>
        <v>#REF!</v>
      </c>
      <c r="AX12" s="8" t="e">
        <f>#REF!</f>
        <v>#REF!</v>
      </c>
    </row>
    <row r="13" spans="1:50" ht="61.5" customHeight="1" x14ac:dyDescent="0.25">
      <c r="A13" s="594"/>
      <c r="B13" s="515" t="s">
        <v>36</v>
      </c>
      <c r="C13" s="257" t="str">
        <f>Asignación!A7</f>
        <v>SF-PY3.1</v>
      </c>
      <c r="D13" s="258" t="str">
        <f>Asignación!B7</f>
        <v xml:space="preserve"> Escuela de Formación Pedagógica
(formación y acompañamiento en  Pedagogía, alcance y materialización del PEU y  labor de consejerías) Graduación y Permanencia.</v>
      </c>
      <c r="E13" s="257">
        <f>Asignación!C7</f>
        <v>310</v>
      </c>
      <c r="F13" s="4" t="s">
        <v>31</v>
      </c>
      <c r="G13" s="94" t="e">
        <f>#REF!</f>
        <v>#REF!</v>
      </c>
      <c r="H13" s="94" t="e">
        <f>#REF!</f>
        <v>#REF!</v>
      </c>
      <c r="I13" s="5">
        <f>Asignación!K7</f>
        <v>178290131</v>
      </c>
      <c r="J13" s="5" t="e">
        <f>#REF!</f>
        <v>#REF!</v>
      </c>
      <c r="K13" s="5" t="e">
        <f t="shared" si="0"/>
        <v>#REF!</v>
      </c>
      <c r="L13" s="246" t="e">
        <f>#REF!</f>
        <v>#REF!</v>
      </c>
      <c r="M13" s="246" t="e">
        <f>#REF!</f>
        <v>#REF!</v>
      </c>
      <c r="N13" s="246" t="e">
        <f>#REF!</f>
        <v>#REF!</v>
      </c>
      <c r="O13" s="246" t="e">
        <f>#REF!</f>
        <v>#REF!</v>
      </c>
      <c r="P13" s="246" t="e">
        <f>#REF!</f>
        <v>#REF!</v>
      </c>
      <c r="Q13" s="246" t="e">
        <f>#REF!</f>
        <v>#REF!</v>
      </c>
      <c r="R13" s="246" t="e">
        <f>#REF!</f>
        <v>#REF!</v>
      </c>
      <c r="S13" s="267">
        <f t="shared" si="1"/>
        <v>0</v>
      </c>
      <c r="T13" s="267" t="e">
        <f t="shared" si="2"/>
        <v>#REF!</v>
      </c>
      <c r="U13" s="267" t="e">
        <f t="shared" si="3"/>
        <v>#REF!</v>
      </c>
      <c r="V13" s="8" t="e">
        <f>#REF!</f>
        <v>#REF!</v>
      </c>
      <c r="W13" s="5" t="e">
        <f>#REF!</f>
        <v>#REF!</v>
      </c>
      <c r="X13" s="5" t="e">
        <f>#REF!</f>
        <v>#REF!</v>
      </c>
      <c r="Y13" s="5" t="e">
        <f>#REF!</f>
        <v>#REF!</v>
      </c>
      <c r="Z13" s="262" t="e">
        <f>#REF!</f>
        <v>#REF!</v>
      </c>
      <c r="AA13" s="271" t="e">
        <f>#REF!</f>
        <v>#REF!</v>
      </c>
      <c r="AB13" s="262" t="e">
        <f>#REF!</f>
        <v>#REF!</v>
      </c>
      <c r="AC13" s="271" t="e">
        <f>#REF!</f>
        <v>#REF!</v>
      </c>
      <c r="AD13" s="262" t="e">
        <f>#REF!</f>
        <v>#REF!</v>
      </c>
      <c r="AE13" s="271" t="e">
        <f>#REF!</f>
        <v>#REF!</v>
      </c>
      <c r="AF13" s="262" t="e">
        <f>#REF!</f>
        <v>#REF!</v>
      </c>
      <c r="AG13" s="249">
        <f t="shared" si="4"/>
        <v>0</v>
      </c>
      <c r="AH13" s="249" t="e">
        <f t="shared" si="5"/>
        <v>#REF!</v>
      </c>
      <c r="AI13" s="249" t="e">
        <f t="shared" si="6"/>
        <v>#REF!</v>
      </c>
      <c r="AJ13" s="8" t="e">
        <f>#REF!</f>
        <v>#REF!</v>
      </c>
      <c r="AK13" s="5" t="e">
        <f>#REF!</f>
        <v>#REF!</v>
      </c>
      <c r="AL13" s="5" t="e">
        <f>#REF!</f>
        <v>#REF!</v>
      </c>
      <c r="AM13" s="5" t="e">
        <f>#REF!</f>
        <v>#REF!</v>
      </c>
      <c r="AN13" s="332" t="e">
        <f>#REF!</f>
        <v>#REF!</v>
      </c>
      <c r="AO13" s="350" t="e">
        <f>#REF!</f>
        <v>#REF!</v>
      </c>
      <c r="AP13" s="332" t="e">
        <f>#REF!</f>
        <v>#REF!</v>
      </c>
      <c r="AQ13" s="350" t="e">
        <f>#REF!</f>
        <v>#REF!</v>
      </c>
      <c r="AR13" s="332" t="e">
        <f>#REF!</f>
        <v>#REF!</v>
      </c>
      <c r="AS13" s="350" t="e">
        <f>#REF!</f>
        <v>#REF!</v>
      </c>
      <c r="AT13" s="332" t="e">
        <f>#REF!</f>
        <v>#REF!</v>
      </c>
      <c r="AU13" s="363">
        <f t="shared" si="7"/>
        <v>0</v>
      </c>
      <c r="AV13" s="363" t="e">
        <f t="shared" si="8"/>
        <v>#REF!</v>
      </c>
      <c r="AW13" s="363" t="e">
        <f t="shared" si="9"/>
        <v>#REF!</v>
      </c>
      <c r="AX13" s="8" t="e">
        <f>#REF!</f>
        <v>#REF!</v>
      </c>
    </row>
    <row r="14" spans="1:50" ht="46.5" customHeight="1" x14ac:dyDescent="0.25">
      <c r="A14" s="594"/>
      <c r="B14" s="516"/>
      <c r="C14" s="257" t="str">
        <f>Asignación!A8</f>
        <v>SF-PY3.2</v>
      </c>
      <c r="D14" s="258" t="str">
        <f>Asignación!B8</f>
        <v>Capacitación Individual Docente.</v>
      </c>
      <c r="E14" s="257">
        <f>Asignación!C8</f>
        <v>310</v>
      </c>
      <c r="F14" s="4" t="s">
        <v>405</v>
      </c>
      <c r="G14" s="94" t="e">
        <f>#REF!</f>
        <v>#REF!</v>
      </c>
      <c r="H14" s="94" t="e">
        <f>#REF!</f>
        <v>#REF!</v>
      </c>
      <c r="I14" s="5">
        <f>Asignación!K8</f>
        <v>359000000</v>
      </c>
      <c r="J14" s="5" t="e">
        <f>#REF!</f>
        <v>#REF!</v>
      </c>
      <c r="K14" s="5" t="e">
        <f t="shared" si="0"/>
        <v>#REF!</v>
      </c>
      <c r="L14" s="246" t="e">
        <f>#REF!</f>
        <v>#REF!</v>
      </c>
      <c r="M14" s="246" t="e">
        <f>#REF!</f>
        <v>#REF!</v>
      </c>
      <c r="N14" s="246" t="e">
        <f>#REF!</f>
        <v>#REF!</v>
      </c>
      <c r="O14" s="246" t="e">
        <f>#REF!</f>
        <v>#REF!</v>
      </c>
      <c r="P14" s="246" t="e">
        <f>#REF!</f>
        <v>#REF!</v>
      </c>
      <c r="Q14" s="246" t="e">
        <f>#REF!</f>
        <v>#REF!</v>
      </c>
      <c r="R14" s="246" t="e">
        <f>#REF!</f>
        <v>#REF!</v>
      </c>
      <c r="S14" s="267">
        <f t="shared" si="1"/>
        <v>0</v>
      </c>
      <c r="T14" s="267" t="e">
        <f t="shared" si="2"/>
        <v>#REF!</v>
      </c>
      <c r="U14" s="267" t="e">
        <f t="shared" si="3"/>
        <v>#REF!</v>
      </c>
      <c r="V14" s="8" t="e">
        <f>#REF!</f>
        <v>#REF!</v>
      </c>
      <c r="W14" s="5" t="e">
        <f>#REF!</f>
        <v>#REF!</v>
      </c>
      <c r="X14" s="5" t="e">
        <f>#REF!</f>
        <v>#REF!</v>
      </c>
      <c r="Y14" s="5" t="e">
        <f>#REF!</f>
        <v>#REF!</v>
      </c>
      <c r="Z14" s="262" t="e">
        <f>#REF!</f>
        <v>#REF!</v>
      </c>
      <c r="AA14" s="271" t="e">
        <f>#REF!</f>
        <v>#REF!</v>
      </c>
      <c r="AB14" s="262" t="e">
        <f>#REF!</f>
        <v>#REF!</v>
      </c>
      <c r="AC14" s="271" t="e">
        <f>#REF!</f>
        <v>#REF!</v>
      </c>
      <c r="AD14" s="262" t="e">
        <f>#REF!</f>
        <v>#REF!</v>
      </c>
      <c r="AE14" s="271" t="e">
        <f>#REF!</f>
        <v>#REF!</v>
      </c>
      <c r="AF14" s="262" t="e">
        <f>#REF!</f>
        <v>#REF!</v>
      </c>
      <c r="AG14" s="249">
        <f t="shared" si="4"/>
        <v>0</v>
      </c>
      <c r="AH14" s="249" t="e">
        <f t="shared" si="5"/>
        <v>#REF!</v>
      </c>
      <c r="AI14" s="249" t="e">
        <f t="shared" si="6"/>
        <v>#REF!</v>
      </c>
      <c r="AJ14" s="8" t="e">
        <f>#REF!</f>
        <v>#REF!</v>
      </c>
      <c r="AK14" s="5" t="e">
        <f>#REF!</f>
        <v>#REF!</v>
      </c>
      <c r="AL14" s="5" t="e">
        <f>#REF!</f>
        <v>#REF!</v>
      </c>
      <c r="AM14" s="5" t="e">
        <f>#REF!</f>
        <v>#REF!</v>
      </c>
      <c r="AN14" s="332" t="e">
        <f>#REF!</f>
        <v>#REF!</v>
      </c>
      <c r="AO14" s="350" t="e">
        <f>#REF!</f>
        <v>#REF!</v>
      </c>
      <c r="AP14" s="332" t="e">
        <f>#REF!</f>
        <v>#REF!</v>
      </c>
      <c r="AQ14" s="350" t="e">
        <f>#REF!</f>
        <v>#REF!</v>
      </c>
      <c r="AR14" s="332" t="e">
        <f>#REF!</f>
        <v>#REF!</v>
      </c>
      <c r="AS14" s="350" t="e">
        <f>#REF!</f>
        <v>#REF!</v>
      </c>
      <c r="AT14" s="332" t="e">
        <f>#REF!</f>
        <v>#REF!</v>
      </c>
      <c r="AU14" s="363">
        <f t="shared" si="7"/>
        <v>0</v>
      </c>
      <c r="AV14" s="363" t="e">
        <f t="shared" si="8"/>
        <v>#REF!</v>
      </c>
      <c r="AW14" s="363" t="e">
        <f t="shared" si="9"/>
        <v>#REF!</v>
      </c>
      <c r="AX14" s="8" t="e">
        <f>#REF!</f>
        <v>#REF!</v>
      </c>
    </row>
    <row r="15" spans="1:50" ht="44.25" customHeight="1" x14ac:dyDescent="0.25">
      <c r="A15" s="594"/>
      <c r="B15" s="516"/>
      <c r="C15" s="257" t="str">
        <f>Asignación!A9</f>
        <v>SF-PY3.3</v>
      </c>
      <c r="D15" s="258" t="str">
        <f>Asignación!B9</f>
        <v xml:space="preserve"> Interlingua para Docentes.</v>
      </c>
      <c r="E15" s="257">
        <f>Asignación!C9</f>
        <v>310</v>
      </c>
      <c r="F15" s="4" t="s">
        <v>31</v>
      </c>
      <c r="G15" s="94" t="e">
        <f>#REF!</f>
        <v>#REF!</v>
      </c>
      <c r="H15" s="94" t="e">
        <f>#REF!</f>
        <v>#REF!</v>
      </c>
      <c r="I15" s="5">
        <f>Asignación!K9</f>
        <v>30000000</v>
      </c>
      <c r="J15" s="5" t="e">
        <f>#REF!</f>
        <v>#REF!</v>
      </c>
      <c r="K15" s="5" t="e">
        <f t="shared" si="0"/>
        <v>#REF!</v>
      </c>
      <c r="L15" s="246" t="e">
        <f>#REF!</f>
        <v>#REF!</v>
      </c>
      <c r="M15" s="246" t="e">
        <f>#REF!</f>
        <v>#REF!</v>
      </c>
      <c r="N15" s="246" t="e">
        <f>#REF!</f>
        <v>#REF!</v>
      </c>
      <c r="O15" s="246" t="e">
        <f>#REF!</f>
        <v>#REF!</v>
      </c>
      <c r="P15" s="246" t="e">
        <f>#REF!</f>
        <v>#REF!</v>
      </c>
      <c r="Q15" s="246" t="e">
        <f>#REF!</f>
        <v>#REF!</v>
      </c>
      <c r="R15" s="246" t="e">
        <f>#REF!</f>
        <v>#REF!</v>
      </c>
      <c r="S15" s="267">
        <f t="shared" si="1"/>
        <v>0</v>
      </c>
      <c r="T15" s="267" t="e">
        <f t="shared" si="2"/>
        <v>#REF!</v>
      </c>
      <c r="U15" s="267" t="e">
        <f t="shared" si="3"/>
        <v>#REF!</v>
      </c>
      <c r="V15" s="8" t="e">
        <f>#REF!</f>
        <v>#REF!</v>
      </c>
      <c r="W15" s="5" t="e">
        <f>#REF!</f>
        <v>#REF!</v>
      </c>
      <c r="X15" s="5" t="e">
        <f>#REF!</f>
        <v>#REF!</v>
      </c>
      <c r="Y15" s="5" t="e">
        <f>#REF!</f>
        <v>#REF!</v>
      </c>
      <c r="Z15" s="262" t="e">
        <f>#REF!</f>
        <v>#REF!</v>
      </c>
      <c r="AA15" s="271" t="e">
        <f>#REF!</f>
        <v>#REF!</v>
      </c>
      <c r="AB15" s="262" t="e">
        <f>#REF!</f>
        <v>#REF!</v>
      </c>
      <c r="AC15" s="271" t="e">
        <f>#REF!</f>
        <v>#REF!</v>
      </c>
      <c r="AD15" s="262" t="e">
        <f>#REF!</f>
        <v>#REF!</v>
      </c>
      <c r="AE15" s="271" t="e">
        <f>#REF!</f>
        <v>#REF!</v>
      </c>
      <c r="AF15" s="262" t="e">
        <f>#REF!</f>
        <v>#REF!</v>
      </c>
      <c r="AG15" s="249">
        <f t="shared" si="4"/>
        <v>0</v>
      </c>
      <c r="AH15" s="249" t="e">
        <f t="shared" si="5"/>
        <v>#REF!</v>
      </c>
      <c r="AI15" s="249" t="e">
        <f t="shared" si="6"/>
        <v>#REF!</v>
      </c>
      <c r="AJ15" s="8" t="e">
        <f>#REF!</f>
        <v>#REF!</v>
      </c>
      <c r="AK15" s="5" t="e">
        <f>#REF!</f>
        <v>#REF!</v>
      </c>
      <c r="AL15" s="5" t="e">
        <f>#REF!</f>
        <v>#REF!</v>
      </c>
      <c r="AM15" s="5" t="e">
        <f>#REF!</f>
        <v>#REF!</v>
      </c>
      <c r="AN15" s="332" t="e">
        <f>#REF!</f>
        <v>#REF!</v>
      </c>
      <c r="AO15" s="350" t="e">
        <f>#REF!</f>
        <v>#REF!</v>
      </c>
      <c r="AP15" s="332" t="e">
        <f>#REF!</f>
        <v>#REF!</v>
      </c>
      <c r="AQ15" s="350" t="e">
        <f>#REF!</f>
        <v>#REF!</v>
      </c>
      <c r="AR15" s="332" t="e">
        <f>#REF!</f>
        <v>#REF!</v>
      </c>
      <c r="AS15" s="350" t="e">
        <f>#REF!</f>
        <v>#REF!</v>
      </c>
      <c r="AT15" s="332" t="e">
        <f>#REF!</f>
        <v>#REF!</v>
      </c>
      <c r="AU15" s="363">
        <f t="shared" si="7"/>
        <v>0</v>
      </c>
      <c r="AV15" s="363" t="e">
        <f t="shared" si="8"/>
        <v>#REF!</v>
      </c>
      <c r="AW15" s="363" t="e">
        <f t="shared" si="9"/>
        <v>#REF!</v>
      </c>
      <c r="AX15" s="8" t="e">
        <f>#REF!</f>
        <v>#REF!</v>
      </c>
    </row>
    <row r="16" spans="1:50" ht="58.5" customHeight="1" x14ac:dyDescent="0.25">
      <c r="A16" s="594"/>
      <c r="B16" s="516"/>
      <c r="C16" s="257" t="str">
        <f>Asignación!A10</f>
        <v>SF-PY3.4</v>
      </c>
      <c r="D16" s="258" t="str">
        <f>Asignación!B10</f>
        <v>Oferta de Cursos Intersemestrales sobre áreas de conocimiento y culturas latinoaméricanas,  formación para la democracia.</v>
      </c>
      <c r="E16" s="257">
        <f>Asignación!C10</f>
        <v>310</v>
      </c>
      <c r="F16" s="4" t="s">
        <v>31</v>
      </c>
      <c r="G16" s="94" t="e">
        <f>#REF!</f>
        <v>#REF!</v>
      </c>
      <c r="H16" s="94" t="e">
        <f>#REF!</f>
        <v>#REF!</v>
      </c>
      <c r="I16" s="5">
        <f>Asignación!K10</f>
        <v>23240492</v>
      </c>
      <c r="J16" s="5" t="e">
        <f>#REF!</f>
        <v>#REF!</v>
      </c>
      <c r="K16" s="5" t="e">
        <f t="shared" si="0"/>
        <v>#REF!</v>
      </c>
      <c r="L16" s="246" t="e">
        <f>#REF!</f>
        <v>#REF!</v>
      </c>
      <c r="M16" s="246" t="e">
        <f>#REF!</f>
        <v>#REF!</v>
      </c>
      <c r="N16" s="246" t="e">
        <f>#REF!</f>
        <v>#REF!</v>
      </c>
      <c r="O16" s="246" t="e">
        <f>#REF!</f>
        <v>#REF!</v>
      </c>
      <c r="P16" s="246" t="e">
        <f>#REF!</f>
        <v>#REF!</v>
      </c>
      <c r="Q16" s="246" t="e">
        <f>#REF!</f>
        <v>#REF!</v>
      </c>
      <c r="R16" s="246" t="e">
        <f>#REF!</f>
        <v>#REF!</v>
      </c>
      <c r="S16" s="267">
        <f t="shared" si="1"/>
        <v>0</v>
      </c>
      <c r="T16" s="267" t="e">
        <f t="shared" si="2"/>
        <v>#REF!</v>
      </c>
      <c r="U16" s="267" t="e">
        <f t="shared" si="3"/>
        <v>#REF!</v>
      </c>
      <c r="V16" s="8" t="e">
        <f>#REF!</f>
        <v>#REF!</v>
      </c>
      <c r="W16" s="5" t="e">
        <f>#REF!</f>
        <v>#REF!</v>
      </c>
      <c r="X16" s="5" t="e">
        <f>#REF!</f>
        <v>#REF!</v>
      </c>
      <c r="Y16" s="5" t="e">
        <f>#REF!</f>
        <v>#REF!</v>
      </c>
      <c r="Z16" s="262" t="e">
        <f>#REF!</f>
        <v>#REF!</v>
      </c>
      <c r="AA16" s="271" t="e">
        <f>#REF!</f>
        <v>#REF!</v>
      </c>
      <c r="AB16" s="262" t="e">
        <f>#REF!</f>
        <v>#REF!</v>
      </c>
      <c r="AC16" s="271" t="e">
        <f>#REF!</f>
        <v>#REF!</v>
      </c>
      <c r="AD16" s="262" t="e">
        <f>#REF!</f>
        <v>#REF!</v>
      </c>
      <c r="AE16" s="271" t="e">
        <f>#REF!</f>
        <v>#REF!</v>
      </c>
      <c r="AF16" s="262" t="e">
        <f>#REF!</f>
        <v>#REF!</v>
      </c>
      <c r="AG16" s="249">
        <f t="shared" si="4"/>
        <v>0</v>
      </c>
      <c r="AH16" s="249" t="e">
        <f t="shared" si="5"/>
        <v>#REF!</v>
      </c>
      <c r="AI16" s="249" t="e">
        <f t="shared" si="6"/>
        <v>#REF!</v>
      </c>
      <c r="AJ16" s="8" t="e">
        <f>#REF!</f>
        <v>#REF!</v>
      </c>
      <c r="AK16" s="5" t="e">
        <f>#REF!</f>
        <v>#REF!</v>
      </c>
      <c r="AL16" s="5" t="e">
        <f>#REF!</f>
        <v>#REF!</v>
      </c>
      <c r="AM16" s="5" t="e">
        <f>#REF!</f>
        <v>#REF!</v>
      </c>
      <c r="AN16" s="332" t="e">
        <f>#REF!</f>
        <v>#REF!</v>
      </c>
      <c r="AO16" s="350" t="e">
        <f>#REF!</f>
        <v>#REF!</v>
      </c>
      <c r="AP16" s="332" t="e">
        <f>#REF!</f>
        <v>#REF!</v>
      </c>
      <c r="AQ16" s="350" t="e">
        <f>#REF!</f>
        <v>#REF!</v>
      </c>
      <c r="AR16" s="332" t="e">
        <f>#REF!</f>
        <v>#REF!</v>
      </c>
      <c r="AS16" s="350" t="e">
        <f>#REF!</f>
        <v>#REF!</v>
      </c>
      <c r="AT16" s="332" t="e">
        <f>#REF!</f>
        <v>#REF!</v>
      </c>
      <c r="AU16" s="363">
        <f t="shared" si="7"/>
        <v>0</v>
      </c>
      <c r="AV16" s="363" t="e">
        <f t="shared" si="8"/>
        <v>#REF!</v>
      </c>
      <c r="AW16" s="363" t="e">
        <f t="shared" si="9"/>
        <v>#REF!</v>
      </c>
      <c r="AX16" s="8" t="e">
        <f>#REF!</f>
        <v>#REF!</v>
      </c>
    </row>
    <row r="17" spans="1:50" ht="33.75" customHeight="1" x14ac:dyDescent="0.25">
      <c r="A17" s="594"/>
      <c r="B17" s="517"/>
      <c r="C17" s="257" t="str">
        <f>Asignación!A11</f>
        <v>SF-PY3.5</v>
      </c>
      <c r="D17" s="258" t="str">
        <f>Asignación!B11</f>
        <v>Estudio de Factibilidad Proyecto Inmersión Total en Casa.</v>
      </c>
      <c r="E17" s="257">
        <f>Asignación!C11</f>
        <v>310</v>
      </c>
      <c r="F17" s="4" t="s">
        <v>31</v>
      </c>
      <c r="G17" s="357" t="e">
        <f>#REF!</f>
        <v>#REF!</v>
      </c>
      <c r="H17" s="94" t="e">
        <f>#REF!</f>
        <v>#REF!</v>
      </c>
      <c r="I17" s="5">
        <f>Asignación!K11</f>
        <v>0</v>
      </c>
      <c r="J17" s="5" t="e">
        <f>#REF!</f>
        <v>#REF!</v>
      </c>
      <c r="K17" s="5" t="e">
        <f t="shared" si="0"/>
        <v>#REF!</v>
      </c>
      <c r="L17" s="246" t="e">
        <f>#REF!</f>
        <v>#REF!</v>
      </c>
      <c r="M17" s="246" t="e">
        <f>#REF!</f>
        <v>#REF!</v>
      </c>
      <c r="N17" s="246" t="e">
        <f>#REF!</f>
        <v>#REF!</v>
      </c>
      <c r="O17" s="246" t="e">
        <f>#REF!</f>
        <v>#REF!</v>
      </c>
      <c r="P17" s="246" t="e">
        <f>#REF!</f>
        <v>#REF!</v>
      </c>
      <c r="Q17" s="246" t="e">
        <f>#REF!</f>
        <v>#REF!</v>
      </c>
      <c r="R17" s="246" t="e">
        <f>#REF!</f>
        <v>#REF!</v>
      </c>
      <c r="S17" s="267">
        <f t="shared" si="1"/>
        <v>0</v>
      </c>
      <c r="T17" s="267" t="e">
        <f t="shared" si="2"/>
        <v>#REF!</v>
      </c>
      <c r="U17" s="267" t="e">
        <f t="shared" si="3"/>
        <v>#REF!</v>
      </c>
      <c r="V17" s="8" t="e">
        <f>#REF!</f>
        <v>#REF!</v>
      </c>
      <c r="W17" s="5" t="e">
        <f>#REF!</f>
        <v>#REF!</v>
      </c>
      <c r="X17" s="5" t="e">
        <f>#REF!</f>
        <v>#REF!</v>
      </c>
      <c r="Y17" s="5" t="e">
        <f>#REF!</f>
        <v>#REF!</v>
      </c>
      <c r="Z17" s="262" t="e">
        <f>#REF!</f>
        <v>#REF!</v>
      </c>
      <c r="AA17" s="271" t="e">
        <f>#REF!</f>
        <v>#REF!</v>
      </c>
      <c r="AB17" s="262" t="e">
        <f>#REF!</f>
        <v>#REF!</v>
      </c>
      <c r="AC17" s="271" t="e">
        <f>#REF!</f>
        <v>#REF!</v>
      </c>
      <c r="AD17" s="262" t="e">
        <f>#REF!</f>
        <v>#REF!</v>
      </c>
      <c r="AE17" s="271" t="e">
        <f>#REF!</f>
        <v>#REF!</v>
      </c>
      <c r="AF17" s="262" t="e">
        <f>#REF!</f>
        <v>#REF!</v>
      </c>
      <c r="AG17" s="249">
        <f t="shared" si="4"/>
        <v>0</v>
      </c>
      <c r="AH17" s="249" t="e">
        <f t="shared" si="5"/>
        <v>#REF!</v>
      </c>
      <c r="AI17" s="249" t="e">
        <f t="shared" si="6"/>
        <v>#REF!</v>
      </c>
      <c r="AJ17" s="8" t="e">
        <f>#REF!</f>
        <v>#REF!</v>
      </c>
      <c r="AK17" s="5" t="e">
        <f>#REF!</f>
        <v>#REF!</v>
      </c>
      <c r="AL17" s="5" t="e">
        <f>#REF!</f>
        <v>#REF!</v>
      </c>
      <c r="AM17" s="5" t="e">
        <f>#REF!</f>
        <v>#REF!</v>
      </c>
      <c r="AN17" s="332" t="e">
        <f>#REF!</f>
        <v>#REF!</v>
      </c>
      <c r="AO17" s="350" t="e">
        <f>#REF!</f>
        <v>#REF!</v>
      </c>
      <c r="AP17" s="332" t="e">
        <f>#REF!</f>
        <v>#REF!</v>
      </c>
      <c r="AQ17" s="350" t="e">
        <f>#REF!</f>
        <v>#REF!</v>
      </c>
      <c r="AR17" s="332" t="e">
        <f>#REF!</f>
        <v>#REF!</v>
      </c>
      <c r="AS17" s="350" t="e">
        <f>#REF!</f>
        <v>#REF!</v>
      </c>
      <c r="AT17" s="332" t="e">
        <f>#REF!</f>
        <v>#REF!</v>
      </c>
      <c r="AU17" s="363">
        <f t="shared" si="7"/>
        <v>0</v>
      </c>
      <c r="AV17" s="363" t="e">
        <f t="shared" si="8"/>
        <v>#REF!</v>
      </c>
      <c r="AW17" s="363" t="e">
        <f t="shared" si="9"/>
        <v>#REF!</v>
      </c>
      <c r="AX17" s="8" t="e">
        <f>#REF!</f>
        <v>#REF!</v>
      </c>
    </row>
    <row r="18" spans="1:50" ht="91.5" customHeight="1" x14ac:dyDescent="0.25">
      <c r="A18" s="594"/>
      <c r="B18" s="515" t="s">
        <v>50</v>
      </c>
      <c r="C18" s="257" t="str">
        <f>Asignación!A12</f>
        <v>SF-PY4.1</v>
      </c>
      <c r="D18" s="258" t="str">
        <f>Asignación!B12</f>
        <v>Apoyo a los procesos de autoevaluación en cada programa; Talleres de Analisis de información de producción de juicios de valor; Talleres de socialización de resultados; conocimientos de referencias; asesorias de pares colaborativos; reproducción de material.</v>
      </c>
      <c r="E18" s="257">
        <f>Asignación!C12</f>
        <v>510</v>
      </c>
      <c r="F18" s="4" t="s">
        <v>53</v>
      </c>
      <c r="G18" s="94" t="e">
        <f>#REF!</f>
        <v>#REF!</v>
      </c>
      <c r="H18" s="94" t="e">
        <f>#REF!</f>
        <v>#REF!</v>
      </c>
      <c r="I18" s="5">
        <f>Asignación!K12</f>
        <v>360600000</v>
      </c>
      <c r="J18" s="5" t="e">
        <f>#REF!</f>
        <v>#REF!</v>
      </c>
      <c r="K18" s="5" t="e">
        <f t="shared" si="0"/>
        <v>#REF!</v>
      </c>
      <c r="L18" s="246" t="e">
        <f>#REF!</f>
        <v>#REF!</v>
      </c>
      <c r="M18" s="246" t="e">
        <f>#REF!</f>
        <v>#REF!</v>
      </c>
      <c r="N18" s="246" t="e">
        <f>#REF!</f>
        <v>#REF!</v>
      </c>
      <c r="O18" s="246" t="e">
        <f>#REF!</f>
        <v>#REF!</v>
      </c>
      <c r="P18" s="246" t="e">
        <f>#REF!</f>
        <v>#REF!</v>
      </c>
      <c r="Q18" s="246" t="e">
        <f>#REF!</f>
        <v>#REF!</v>
      </c>
      <c r="R18" s="246" t="e">
        <f>#REF!</f>
        <v>#REF!</v>
      </c>
      <c r="S18" s="267">
        <f t="shared" si="1"/>
        <v>0</v>
      </c>
      <c r="T18" s="267" t="e">
        <f t="shared" si="2"/>
        <v>#REF!</v>
      </c>
      <c r="U18" s="267" t="e">
        <f t="shared" si="3"/>
        <v>#REF!</v>
      </c>
      <c r="V18" s="8" t="e">
        <f>#REF!</f>
        <v>#REF!</v>
      </c>
      <c r="W18" s="5" t="e">
        <f>#REF!</f>
        <v>#REF!</v>
      </c>
      <c r="X18" s="5" t="e">
        <f>#REF!</f>
        <v>#REF!</v>
      </c>
      <c r="Y18" s="5" t="e">
        <f>#REF!</f>
        <v>#REF!</v>
      </c>
      <c r="Z18" s="262" t="e">
        <f>#REF!</f>
        <v>#REF!</v>
      </c>
      <c r="AA18" s="271" t="e">
        <f>#REF!</f>
        <v>#REF!</v>
      </c>
      <c r="AB18" s="262" t="e">
        <f>#REF!</f>
        <v>#REF!</v>
      </c>
      <c r="AC18" s="271" t="e">
        <f>#REF!</f>
        <v>#REF!</v>
      </c>
      <c r="AD18" s="262" t="e">
        <f>#REF!</f>
        <v>#REF!</v>
      </c>
      <c r="AE18" s="271" t="e">
        <f>#REF!</f>
        <v>#REF!</v>
      </c>
      <c r="AF18" s="262" t="e">
        <f>#REF!</f>
        <v>#REF!</v>
      </c>
      <c r="AG18" s="249">
        <f t="shared" si="4"/>
        <v>0</v>
      </c>
      <c r="AH18" s="249" t="e">
        <f t="shared" si="5"/>
        <v>#REF!</v>
      </c>
      <c r="AI18" s="249" t="e">
        <f t="shared" si="6"/>
        <v>#REF!</v>
      </c>
      <c r="AJ18" s="8" t="e">
        <f>#REF!</f>
        <v>#REF!</v>
      </c>
      <c r="AK18" s="5" t="e">
        <f>#REF!</f>
        <v>#REF!</v>
      </c>
      <c r="AL18" s="5" t="e">
        <f>#REF!</f>
        <v>#REF!</v>
      </c>
      <c r="AM18" s="5" t="e">
        <f>#REF!</f>
        <v>#REF!</v>
      </c>
      <c r="AN18" s="332" t="e">
        <f>#REF!</f>
        <v>#REF!</v>
      </c>
      <c r="AO18" s="350" t="e">
        <f>#REF!</f>
        <v>#REF!</v>
      </c>
      <c r="AP18" s="332" t="e">
        <f>#REF!</f>
        <v>#REF!</v>
      </c>
      <c r="AQ18" s="350" t="e">
        <f>#REF!</f>
        <v>#REF!</v>
      </c>
      <c r="AR18" s="332" t="e">
        <f>#REF!</f>
        <v>#REF!</v>
      </c>
      <c r="AS18" s="350" t="e">
        <f>#REF!</f>
        <v>#REF!</v>
      </c>
      <c r="AT18" s="332" t="e">
        <f>#REF!</f>
        <v>#REF!</v>
      </c>
      <c r="AU18" s="363">
        <f t="shared" si="7"/>
        <v>0</v>
      </c>
      <c r="AV18" s="363" t="e">
        <f t="shared" si="8"/>
        <v>#REF!</v>
      </c>
      <c r="AW18" s="363" t="e">
        <f t="shared" si="9"/>
        <v>#REF!</v>
      </c>
      <c r="AX18" s="8" t="e">
        <f>#REF!</f>
        <v>#REF!</v>
      </c>
    </row>
    <row r="19" spans="1:50" ht="39" customHeight="1" x14ac:dyDescent="0.25">
      <c r="A19" s="594"/>
      <c r="B19" s="516"/>
      <c r="C19" s="257" t="str">
        <f>Asignación!A13</f>
        <v>SF-PY4.2</v>
      </c>
      <c r="D19" s="258" t="str">
        <f>Asignación!B13</f>
        <v>Aprestamiento en Lectura Crítica y Matemática- Plan de Fomento a la Calidad-FASE I-Permanencia y graduación.</v>
      </c>
      <c r="E19" s="257">
        <f>Asignación!C13</f>
        <v>510</v>
      </c>
      <c r="F19" s="4" t="s">
        <v>31</v>
      </c>
      <c r="G19" s="94" t="e">
        <f>#REF!</f>
        <v>#REF!</v>
      </c>
      <c r="H19" s="94" t="e">
        <f>#REF!</f>
        <v>#REF!</v>
      </c>
      <c r="I19" s="5">
        <f>Asignación!K13</f>
        <v>100000000</v>
      </c>
      <c r="J19" s="5" t="e">
        <f>#REF!</f>
        <v>#REF!</v>
      </c>
      <c r="K19" s="5" t="e">
        <f>I19-J19</f>
        <v>#REF!</v>
      </c>
      <c r="L19" s="246" t="e">
        <f>#REF!</f>
        <v>#REF!</v>
      </c>
      <c r="M19" s="246" t="e">
        <f>#REF!</f>
        <v>#REF!</v>
      </c>
      <c r="N19" s="246" t="e">
        <f>#REF!</f>
        <v>#REF!</v>
      </c>
      <c r="O19" s="246" t="e">
        <f>#REF!</f>
        <v>#REF!</v>
      </c>
      <c r="P19" s="246" t="e">
        <f>#REF!</f>
        <v>#REF!</v>
      </c>
      <c r="Q19" s="246" t="e">
        <f>#REF!</f>
        <v>#REF!</v>
      </c>
      <c r="R19" s="246" t="e">
        <f>#REF!</f>
        <v>#REF!</v>
      </c>
      <c r="S19" s="267">
        <f t="shared" si="1"/>
        <v>0</v>
      </c>
      <c r="T19" s="267" t="e">
        <f t="shared" si="2"/>
        <v>#REF!</v>
      </c>
      <c r="U19" s="267" t="e">
        <f t="shared" si="3"/>
        <v>#REF!</v>
      </c>
      <c r="V19" s="8" t="e">
        <f>#REF!</f>
        <v>#REF!</v>
      </c>
      <c r="W19" s="5" t="e">
        <f>#REF!</f>
        <v>#REF!</v>
      </c>
      <c r="X19" s="5" t="e">
        <f>#REF!</f>
        <v>#REF!</v>
      </c>
      <c r="Y19" s="5" t="e">
        <f>#REF!</f>
        <v>#REF!</v>
      </c>
      <c r="Z19" s="262" t="e">
        <f>#REF!</f>
        <v>#REF!</v>
      </c>
      <c r="AA19" s="271" t="e">
        <f>#REF!</f>
        <v>#REF!</v>
      </c>
      <c r="AB19" s="262" t="e">
        <f>#REF!</f>
        <v>#REF!</v>
      </c>
      <c r="AC19" s="271" t="e">
        <f>#REF!</f>
        <v>#REF!</v>
      </c>
      <c r="AD19" s="262" t="e">
        <f>#REF!</f>
        <v>#REF!</v>
      </c>
      <c r="AE19" s="271" t="e">
        <f>#REF!</f>
        <v>#REF!</v>
      </c>
      <c r="AF19" s="262" t="e">
        <f>#REF!</f>
        <v>#REF!</v>
      </c>
      <c r="AG19" s="249">
        <f t="shared" si="4"/>
        <v>0</v>
      </c>
      <c r="AH19" s="249" t="e">
        <f t="shared" si="5"/>
        <v>#REF!</v>
      </c>
      <c r="AI19" s="249" t="e">
        <f t="shared" si="6"/>
        <v>#REF!</v>
      </c>
      <c r="AJ19" s="8" t="e">
        <f>#REF!</f>
        <v>#REF!</v>
      </c>
      <c r="AK19" s="5" t="e">
        <f>#REF!</f>
        <v>#REF!</v>
      </c>
      <c r="AL19" s="5" t="e">
        <f>#REF!</f>
        <v>#REF!</v>
      </c>
      <c r="AM19" s="5" t="e">
        <f>#REF!</f>
        <v>#REF!</v>
      </c>
      <c r="AN19" s="332" t="e">
        <f>#REF!</f>
        <v>#REF!</v>
      </c>
      <c r="AO19" s="350" t="e">
        <f>#REF!</f>
        <v>#REF!</v>
      </c>
      <c r="AP19" s="332" t="e">
        <f>#REF!</f>
        <v>#REF!</v>
      </c>
      <c r="AQ19" s="350" t="e">
        <f>#REF!</f>
        <v>#REF!</v>
      </c>
      <c r="AR19" s="332" t="e">
        <f>#REF!</f>
        <v>#REF!</v>
      </c>
      <c r="AS19" s="350" t="e">
        <f>#REF!</f>
        <v>#REF!</v>
      </c>
      <c r="AT19" s="332" t="e">
        <f>#REF!</f>
        <v>#REF!</v>
      </c>
      <c r="AU19" s="363">
        <f t="shared" si="7"/>
        <v>0</v>
      </c>
      <c r="AV19" s="363" t="e">
        <f t="shared" si="8"/>
        <v>#REF!</v>
      </c>
      <c r="AW19" s="363" t="e">
        <f t="shared" si="9"/>
        <v>#REF!</v>
      </c>
      <c r="AX19" s="8" t="e">
        <f>#REF!</f>
        <v>#REF!</v>
      </c>
    </row>
    <row r="20" spans="1:50" ht="48.75" customHeight="1" x14ac:dyDescent="0.25">
      <c r="A20" s="594"/>
      <c r="B20" s="516"/>
      <c r="C20" s="257" t="str">
        <f>Asignación!A14</f>
        <v>SF-PY4.3</v>
      </c>
      <c r="D20" s="258" t="str">
        <f>Asignación!B14</f>
        <v>Fortalecimiento de las Competencias Genéricas Saber Pro- Plan de Fomento a la Calidad-FASE I -Permanencia y graduación.</v>
      </c>
      <c r="E20" s="257">
        <f>Asignación!C14</f>
        <v>510</v>
      </c>
      <c r="F20" s="4" t="s">
        <v>31</v>
      </c>
      <c r="G20" s="94" t="e">
        <f>#REF!</f>
        <v>#REF!</v>
      </c>
      <c r="H20" s="94" t="e">
        <f>#REF!</f>
        <v>#REF!</v>
      </c>
      <c r="I20" s="5">
        <f>Asignación!K14</f>
        <v>75092920</v>
      </c>
      <c r="J20" s="5" t="e">
        <f>#REF!</f>
        <v>#REF!</v>
      </c>
      <c r="K20" s="5" t="e">
        <f t="shared" ref="K20:K30" si="10">I20-J20</f>
        <v>#REF!</v>
      </c>
      <c r="L20" s="246" t="e">
        <f>#REF!</f>
        <v>#REF!</v>
      </c>
      <c r="M20" s="246" t="e">
        <f>#REF!</f>
        <v>#REF!</v>
      </c>
      <c r="N20" s="246" t="e">
        <f>#REF!</f>
        <v>#REF!</v>
      </c>
      <c r="O20" s="246" t="e">
        <f>#REF!</f>
        <v>#REF!</v>
      </c>
      <c r="P20" s="246" t="e">
        <f>#REF!</f>
        <v>#REF!</v>
      </c>
      <c r="Q20" s="246" t="e">
        <f>#REF!</f>
        <v>#REF!</v>
      </c>
      <c r="R20" s="246" t="e">
        <f>#REF!</f>
        <v>#REF!</v>
      </c>
      <c r="S20" s="267">
        <f t="shared" si="1"/>
        <v>0</v>
      </c>
      <c r="T20" s="267" t="e">
        <f t="shared" si="2"/>
        <v>#REF!</v>
      </c>
      <c r="U20" s="267" t="e">
        <f t="shared" si="3"/>
        <v>#REF!</v>
      </c>
      <c r="V20" s="8" t="e">
        <f>#REF!</f>
        <v>#REF!</v>
      </c>
      <c r="W20" s="5" t="e">
        <f>#REF!</f>
        <v>#REF!</v>
      </c>
      <c r="X20" s="5" t="e">
        <f>#REF!</f>
        <v>#REF!</v>
      </c>
      <c r="Y20" s="5" t="e">
        <f>#REF!</f>
        <v>#REF!</v>
      </c>
      <c r="Z20" s="262" t="e">
        <f>#REF!</f>
        <v>#REF!</v>
      </c>
      <c r="AA20" s="271" t="e">
        <f>#REF!</f>
        <v>#REF!</v>
      </c>
      <c r="AB20" s="262" t="e">
        <f>#REF!</f>
        <v>#REF!</v>
      </c>
      <c r="AC20" s="271" t="e">
        <f>#REF!</f>
        <v>#REF!</v>
      </c>
      <c r="AD20" s="262" t="e">
        <f>#REF!</f>
        <v>#REF!</v>
      </c>
      <c r="AE20" s="271" t="e">
        <f>#REF!</f>
        <v>#REF!</v>
      </c>
      <c r="AF20" s="262" t="e">
        <f>#REF!</f>
        <v>#REF!</v>
      </c>
      <c r="AG20" s="249">
        <f t="shared" si="4"/>
        <v>0</v>
      </c>
      <c r="AH20" s="249" t="e">
        <f t="shared" si="5"/>
        <v>#REF!</v>
      </c>
      <c r="AI20" s="249" t="e">
        <f t="shared" si="6"/>
        <v>#REF!</v>
      </c>
      <c r="AJ20" s="8" t="e">
        <f>#REF!</f>
        <v>#REF!</v>
      </c>
      <c r="AK20" s="5" t="e">
        <f>#REF!</f>
        <v>#REF!</v>
      </c>
      <c r="AL20" s="5" t="e">
        <f>#REF!</f>
        <v>#REF!</v>
      </c>
      <c r="AM20" s="5" t="e">
        <f>#REF!</f>
        <v>#REF!</v>
      </c>
      <c r="AN20" s="332" t="e">
        <f>#REF!</f>
        <v>#REF!</v>
      </c>
      <c r="AO20" s="350" t="e">
        <f>#REF!</f>
        <v>#REF!</v>
      </c>
      <c r="AP20" s="332" t="e">
        <f>#REF!</f>
        <v>#REF!</v>
      </c>
      <c r="AQ20" s="350" t="e">
        <f>#REF!</f>
        <v>#REF!</v>
      </c>
      <c r="AR20" s="332" t="e">
        <f>#REF!</f>
        <v>#REF!</v>
      </c>
      <c r="AS20" s="350" t="e">
        <f>#REF!</f>
        <v>#REF!</v>
      </c>
      <c r="AT20" s="332" t="e">
        <f>#REF!</f>
        <v>#REF!</v>
      </c>
      <c r="AU20" s="363">
        <f t="shared" si="7"/>
        <v>0</v>
      </c>
      <c r="AV20" s="363" t="e">
        <f t="shared" si="8"/>
        <v>#REF!</v>
      </c>
      <c r="AW20" s="363" t="e">
        <f t="shared" si="9"/>
        <v>#REF!</v>
      </c>
      <c r="AX20" s="8" t="e">
        <f>#REF!</f>
        <v>#REF!</v>
      </c>
    </row>
    <row r="21" spans="1:50" ht="31.5" customHeight="1" x14ac:dyDescent="0.25">
      <c r="A21" s="594"/>
      <c r="B21" s="516"/>
      <c r="C21" s="257" t="str">
        <f>Asignación!A15</f>
        <v>SF-PY4.4</v>
      </c>
      <c r="D21" s="258" t="str">
        <f>Asignación!B15</f>
        <v>Consejerías Académicas -Plan de Fomento a la Calidad-FASE I-Permanencia y graduación.</v>
      </c>
      <c r="E21" s="257">
        <f>Asignación!C15</f>
        <v>510</v>
      </c>
      <c r="F21" s="4" t="s">
        <v>31</v>
      </c>
      <c r="G21" s="94" t="e">
        <f>#REF!</f>
        <v>#REF!</v>
      </c>
      <c r="H21" s="94" t="e">
        <f>#REF!</f>
        <v>#REF!</v>
      </c>
      <c r="I21" s="5">
        <f>Asignación!K15</f>
        <v>103646000</v>
      </c>
      <c r="J21" s="5" t="e">
        <f>#REF!</f>
        <v>#REF!</v>
      </c>
      <c r="K21" s="5" t="e">
        <f t="shared" si="10"/>
        <v>#REF!</v>
      </c>
      <c r="L21" s="246" t="e">
        <f>#REF!</f>
        <v>#REF!</v>
      </c>
      <c r="M21" s="246" t="e">
        <f>#REF!</f>
        <v>#REF!</v>
      </c>
      <c r="N21" s="246" t="e">
        <f>#REF!</f>
        <v>#REF!</v>
      </c>
      <c r="O21" s="246" t="e">
        <f>#REF!</f>
        <v>#REF!</v>
      </c>
      <c r="P21" s="246" t="e">
        <f>#REF!</f>
        <v>#REF!</v>
      </c>
      <c r="Q21" s="246" t="e">
        <f>#REF!</f>
        <v>#REF!</v>
      </c>
      <c r="R21" s="246" t="e">
        <f>#REF!</f>
        <v>#REF!</v>
      </c>
      <c r="S21" s="267">
        <f t="shared" si="1"/>
        <v>0</v>
      </c>
      <c r="T21" s="267" t="e">
        <f t="shared" si="2"/>
        <v>#REF!</v>
      </c>
      <c r="U21" s="267" t="e">
        <f t="shared" si="3"/>
        <v>#REF!</v>
      </c>
      <c r="V21" s="8" t="e">
        <f>#REF!</f>
        <v>#REF!</v>
      </c>
      <c r="W21" s="5" t="e">
        <f>#REF!</f>
        <v>#REF!</v>
      </c>
      <c r="X21" s="5" t="e">
        <f>#REF!</f>
        <v>#REF!</v>
      </c>
      <c r="Y21" s="5" t="e">
        <f>#REF!</f>
        <v>#REF!</v>
      </c>
      <c r="Z21" s="262" t="e">
        <f>#REF!</f>
        <v>#REF!</v>
      </c>
      <c r="AA21" s="271" t="e">
        <f>#REF!</f>
        <v>#REF!</v>
      </c>
      <c r="AB21" s="262" t="e">
        <f>#REF!</f>
        <v>#REF!</v>
      </c>
      <c r="AC21" s="271" t="e">
        <f>#REF!</f>
        <v>#REF!</v>
      </c>
      <c r="AD21" s="262" t="e">
        <f>#REF!</f>
        <v>#REF!</v>
      </c>
      <c r="AE21" s="271" t="e">
        <f>#REF!</f>
        <v>#REF!</v>
      </c>
      <c r="AF21" s="262" t="e">
        <f>#REF!</f>
        <v>#REF!</v>
      </c>
      <c r="AG21" s="249">
        <f t="shared" si="4"/>
        <v>0</v>
      </c>
      <c r="AH21" s="249" t="e">
        <f t="shared" si="5"/>
        <v>#REF!</v>
      </c>
      <c r="AI21" s="249" t="e">
        <f t="shared" si="6"/>
        <v>#REF!</v>
      </c>
      <c r="AJ21" s="8" t="e">
        <f>#REF!</f>
        <v>#REF!</v>
      </c>
      <c r="AK21" s="5" t="e">
        <f>#REF!</f>
        <v>#REF!</v>
      </c>
      <c r="AL21" s="5" t="e">
        <f>#REF!</f>
        <v>#REF!</v>
      </c>
      <c r="AM21" s="5" t="e">
        <f>#REF!</f>
        <v>#REF!</v>
      </c>
      <c r="AN21" s="332" t="e">
        <f>#REF!</f>
        <v>#REF!</v>
      </c>
      <c r="AO21" s="350" t="e">
        <f>#REF!</f>
        <v>#REF!</v>
      </c>
      <c r="AP21" s="332" t="e">
        <f>#REF!</f>
        <v>#REF!</v>
      </c>
      <c r="AQ21" s="350" t="e">
        <f>#REF!</f>
        <v>#REF!</v>
      </c>
      <c r="AR21" s="332" t="e">
        <f>#REF!</f>
        <v>#REF!</v>
      </c>
      <c r="AS21" s="350" t="e">
        <f>#REF!</f>
        <v>#REF!</v>
      </c>
      <c r="AT21" s="332" t="e">
        <f>#REF!</f>
        <v>#REF!</v>
      </c>
      <c r="AU21" s="363">
        <f t="shared" si="7"/>
        <v>0</v>
      </c>
      <c r="AV21" s="363" t="e">
        <f t="shared" si="8"/>
        <v>#REF!</v>
      </c>
      <c r="AW21" s="363" t="e">
        <f t="shared" si="9"/>
        <v>#REF!</v>
      </c>
      <c r="AX21" s="8" t="e">
        <f>#REF!</f>
        <v>#REF!</v>
      </c>
    </row>
    <row r="22" spans="1:50" ht="45.75" customHeight="1" x14ac:dyDescent="0.25">
      <c r="A22" s="594"/>
      <c r="B22" s="517"/>
      <c r="C22" s="257" t="str">
        <f>Asignación!A16</f>
        <v>SF-PY4.5</v>
      </c>
      <c r="D22" s="258" t="str">
        <f>Asignación!B16</f>
        <v>Apoyo a la Politica de Inclusión-Permanencia y graduación.</v>
      </c>
      <c r="E22" s="257">
        <f>Asignación!C16</f>
        <v>510</v>
      </c>
      <c r="F22" s="4" t="s">
        <v>31</v>
      </c>
      <c r="G22" s="94" t="e">
        <f>#REF!</f>
        <v>#REF!</v>
      </c>
      <c r="H22" s="94" t="e">
        <f>#REF!</f>
        <v>#REF!</v>
      </c>
      <c r="I22" s="5">
        <f>Asignación!K16</f>
        <v>34000000</v>
      </c>
      <c r="J22" s="5" t="e">
        <f>#REF!</f>
        <v>#REF!</v>
      </c>
      <c r="K22" s="5" t="e">
        <f t="shared" si="10"/>
        <v>#REF!</v>
      </c>
      <c r="L22" s="246" t="e">
        <f>#REF!</f>
        <v>#REF!</v>
      </c>
      <c r="M22" s="246" t="e">
        <f>#REF!</f>
        <v>#REF!</v>
      </c>
      <c r="N22" s="246" t="e">
        <f>#REF!</f>
        <v>#REF!</v>
      </c>
      <c r="O22" s="246" t="e">
        <f>#REF!</f>
        <v>#REF!</v>
      </c>
      <c r="P22" s="246" t="e">
        <f>#REF!</f>
        <v>#REF!</v>
      </c>
      <c r="Q22" s="246" t="e">
        <f>#REF!</f>
        <v>#REF!</v>
      </c>
      <c r="R22" s="246" t="e">
        <f>#REF!</f>
        <v>#REF!</v>
      </c>
      <c r="S22" s="267">
        <f t="shared" si="1"/>
        <v>0</v>
      </c>
      <c r="T22" s="267" t="e">
        <f t="shared" si="2"/>
        <v>#REF!</v>
      </c>
      <c r="U22" s="267" t="e">
        <f t="shared" si="3"/>
        <v>#REF!</v>
      </c>
      <c r="V22" s="8" t="e">
        <f>#REF!</f>
        <v>#REF!</v>
      </c>
      <c r="W22" s="5" t="e">
        <f>#REF!</f>
        <v>#REF!</v>
      </c>
      <c r="X22" s="5" t="e">
        <f>#REF!</f>
        <v>#REF!</v>
      </c>
      <c r="Y22" s="5" t="e">
        <f>#REF!</f>
        <v>#REF!</v>
      </c>
      <c r="Z22" s="262" t="e">
        <f>#REF!</f>
        <v>#REF!</v>
      </c>
      <c r="AA22" s="271" t="e">
        <f>#REF!</f>
        <v>#REF!</v>
      </c>
      <c r="AB22" s="262" t="e">
        <f>#REF!</f>
        <v>#REF!</v>
      </c>
      <c r="AC22" s="271" t="e">
        <f>#REF!</f>
        <v>#REF!</v>
      </c>
      <c r="AD22" s="262" t="e">
        <f>#REF!</f>
        <v>#REF!</v>
      </c>
      <c r="AE22" s="271" t="e">
        <f>#REF!</f>
        <v>#REF!</v>
      </c>
      <c r="AF22" s="262" t="e">
        <f>#REF!</f>
        <v>#REF!</v>
      </c>
      <c r="AG22" s="249">
        <f t="shared" si="4"/>
        <v>0</v>
      </c>
      <c r="AH22" s="249" t="e">
        <f t="shared" si="5"/>
        <v>#REF!</v>
      </c>
      <c r="AI22" s="249" t="e">
        <f t="shared" si="6"/>
        <v>#REF!</v>
      </c>
      <c r="AJ22" s="8" t="e">
        <f>#REF!</f>
        <v>#REF!</v>
      </c>
      <c r="AK22" s="5" t="e">
        <f>#REF!</f>
        <v>#REF!</v>
      </c>
      <c r="AL22" s="5" t="e">
        <f>#REF!</f>
        <v>#REF!</v>
      </c>
      <c r="AM22" s="5" t="e">
        <f>#REF!</f>
        <v>#REF!</v>
      </c>
      <c r="AN22" s="332" t="e">
        <f>#REF!</f>
        <v>#REF!</v>
      </c>
      <c r="AO22" s="350" t="e">
        <f>#REF!</f>
        <v>#REF!</v>
      </c>
      <c r="AP22" s="332" t="e">
        <f>#REF!</f>
        <v>#REF!</v>
      </c>
      <c r="AQ22" s="350" t="e">
        <f>#REF!</f>
        <v>#REF!</v>
      </c>
      <c r="AR22" s="332" t="e">
        <f>#REF!</f>
        <v>#REF!</v>
      </c>
      <c r="AS22" s="350" t="e">
        <f>#REF!</f>
        <v>#REF!</v>
      </c>
      <c r="AT22" s="332" t="e">
        <f>#REF!</f>
        <v>#REF!</v>
      </c>
      <c r="AU22" s="363">
        <f t="shared" si="7"/>
        <v>0</v>
      </c>
      <c r="AV22" s="363" t="e">
        <f t="shared" si="8"/>
        <v>#REF!</v>
      </c>
      <c r="AW22" s="363" t="e">
        <f t="shared" si="9"/>
        <v>#REF!</v>
      </c>
      <c r="AX22" s="8" t="e">
        <f>#REF!</f>
        <v>#REF!</v>
      </c>
    </row>
    <row r="23" spans="1:50" ht="119.25" customHeight="1" x14ac:dyDescent="0.25">
      <c r="A23" s="594"/>
      <c r="B23" s="515" t="s">
        <v>65</v>
      </c>
      <c r="C23" s="257" t="str">
        <f>Asignación!A17</f>
        <v>SF-PY5.1</v>
      </c>
      <c r="D23" s="258" t="str">
        <f>Asignación!B17</f>
        <v>Funcionamiento de la Unidad de Apoyo a los Procesos de Autoevaluación  y Acreditación Institucional.</v>
      </c>
      <c r="E23" s="257">
        <f>Asignación!C17</f>
        <v>510</v>
      </c>
      <c r="F23" s="4" t="s">
        <v>31</v>
      </c>
      <c r="G23" s="94" t="e">
        <f>#REF!</f>
        <v>#REF!</v>
      </c>
      <c r="H23" s="94" t="e">
        <f>#REF!</f>
        <v>#REF!</v>
      </c>
      <c r="I23" s="5">
        <f>Asignación!K17</f>
        <v>165000000</v>
      </c>
      <c r="J23" s="5" t="e">
        <f>#REF!</f>
        <v>#REF!</v>
      </c>
      <c r="K23" s="5" t="e">
        <f t="shared" si="10"/>
        <v>#REF!</v>
      </c>
      <c r="L23" s="246" t="e">
        <f>#REF!</f>
        <v>#REF!</v>
      </c>
      <c r="M23" s="246" t="e">
        <f>#REF!</f>
        <v>#REF!</v>
      </c>
      <c r="N23" s="246" t="e">
        <f>#REF!</f>
        <v>#REF!</v>
      </c>
      <c r="O23" s="246" t="e">
        <f>#REF!</f>
        <v>#REF!</v>
      </c>
      <c r="P23" s="246" t="e">
        <f>#REF!</f>
        <v>#REF!</v>
      </c>
      <c r="Q23" s="246" t="e">
        <f>#REF!</f>
        <v>#REF!</v>
      </c>
      <c r="R23" s="246" t="e">
        <f>#REF!</f>
        <v>#REF!</v>
      </c>
      <c r="S23" s="267">
        <f t="shared" si="1"/>
        <v>0</v>
      </c>
      <c r="T23" s="267" t="e">
        <f t="shared" si="2"/>
        <v>#REF!</v>
      </c>
      <c r="U23" s="267" t="e">
        <f t="shared" si="3"/>
        <v>#REF!</v>
      </c>
      <c r="V23" s="8" t="e">
        <f>#REF!</f>
        <v>#REF!</v>
      </c>
      <c r="W23" s="5" t="e">
        <f>#REF!</f>
        <v>#REF!</v>
      </c>
      <c r="X23" s="5" t="e">
        <f>#REF!</f>
        <v>#REF!</v>
      </c>
      <c r="Y23" s="5" t="e">
        <f>#REF!</f>
        <v>#REF!</v>
      </c>
      <c r="Z23" s="262" t="e">
        <f>#REF!</f>
        <v>#REF!</v>
      </c>
      <c r="AA23" s="271" t="e">
        <f>#REF!</f>
        <v>#REF!</v>
      </c>
      <c r="AB23" s="262" t="e">
        <f>#REF!</f>
        <v>#REF!</v>
      </c>
      <c r="AC23" s="271" t="e">
        <f>#REF!</f>
        <v>#REF!</v>
      </c>
      <c r="AD23" s="262" t="e">
        <f>#REF!</f>
        <v>#REF!</v>
      </c>
      <c r="AE23" s="271" t="e">
        <f>#REF!</f>
        <v>#REF!</v>
      </c>
      <c r="AF23" s="262" t="e">
        <f>#REF!</f>
        <v>#REF!</v>
      </c>
      <c r="AG23" s="249">
        <f t="shared" si="4"/>
        <v>0</v>
      </c>
      <c r="AH23" s="249" t="e">
        <f t="shared" si="5"/>
        <v>#REF!</v>
      </c>
      <c r="AI23" s="249" t="e">
        <f t="shared" si="6"/>
        <v>#REF!</v>
      </c>
      <c r="AJ23" s="8" t="e">
        <f>#REF!</f>
        <v>#REF!</v>
      </c>
      <c r="AK23" s="5" t="e">
        <f>#REF!</f>
        <v>#REF!</v>
      </c>
      <c r="AL23" s="5" t="e">
        <f>#REF!</f>
        <v>#REF!</v>
      </c>
      <c r="AM23" s="5" t="e">
        <f>#REF!</f>
        <v>#REF!</v>
      </c>
      <c r="AN23" s="332" t="e">
        <f>#REF!</f>
        <v>#REF!</v>
      </c>
      <c r="AO23" s="350" t="e">
        <f>#REF!</f>
        <v>#REF!</v>
      </c>
      <c r="AP23" s="332" t="e">
        <f>#REF!</f>
        <v>#REF!</v>
      </c>
      <c r="AQ23" s="350" t="e">
        <f>#REF!</f>
        <v>#REF!</v>
      </c>
      <c r="AR23" s="332" t="e">
        <f>#REF!</f>
        <v>#REF!</v>
      </c>
      <c r="AS23" s="350" t="e">
        <f>#REF!</f>
        <v>#REF!</v>
      </c>
      <c r="AT23" s="332" t="e">
        <f>#REF!</f>
        <v>#REF!</v>
      </c>
      <c r="AU23" s="363">
        <f t="shared" si="7"/>
        <v>0</v>
      </c>
      <c r="AV23" s="363" t="e">
        <f t="shared" si="8"/>
        <v>#REF!</v>
      </c>
      <c r="AW23" s="363" t="e">
        <f t="shared" si="9"/>
        <v>#REF!</v>
      </c>
      <c r="AX23" s="8" t="e">
        <f>#REF!</f>
        <v>#REF!</v>
      </c>
    </row>
    <row r="24" spans="1:50" ht="81.75" customHeight="1" x14ac:dyDescent="0.25">
      <c r="A24" s="594"/>
      <c r="B24" s="516"/>
      <c r="C24" s="257" t="str">
        <f>Asignación!A18</f>
        <v>SF-PY5.2</v>
      </c>
      <c r="D24" s="258" t="str">
        <f>Asignación!B18</f>
        <v>Procesos de Autoevaluación y Acreditación Institucional; Capacitaciones  y encuentros para apoyo con Universidades del país.</v>
      </c>
      <c r="E24" s="257">
        <f>Asignación!C18</f>
        <v>510</v>
      </c>
      <c r="F24" s="4" t="s">
        <v>31</v>
      </c>
      <c r="G24" s="94" t="e">
        <f>#REF!</f>
        <v>#REF!</v>
      </c>
      <c r="H24" s="94" t="e">
        <f>#REF!</f>
        <v>#REF!</v>
      </c>
      <c r="I24" s="5">
        <f>Asignación!K18</f>
        <v>32440391</v>
      </c>
      <c r="J24" s="5" t="e">
        <f>#REF!</f>
        <v>#REF!</v>
      </c>
      <c r="K24" s="5" t="e">
        <f t="shared" si="10"/>
        <v>#REF!</v>
      </c>
      <c r="L24" s="246" t="e">
        <f>#REF!</f>
        <v>#REF!</v>
      </c>
      <c r="M24" s="246" t="e">
        <f>#REF!</f>
        <v>#REF!</v>
      </c>
      <c r="N24" s="246" t="e">
        <f>#REF!</f>
        <v>#REF!</v>
      </c>
      <c r="O24" s="246" t="e">
        <f>#REF!</f>
        <v>#REF!</v>
      </c>
      <c r="P24" s="246" t="e">
        <f>#REF!</f>
        <v>#REF!</v>
      </c>
      <c r="Q24" s="246" t="e">
        <f>#REF!</f>
        <v>#REF!</v>
      </c>
      <c r="R24" s="246" t="e">
        <f>#REF!</f>
        <v>#REF!</v>
      </c>
      <c r="S24" s="267">
        <f t="shared" si="1"/>
        <v>0</v>
      </c>
      <c r="T24" s="267" t="e">
        <f t="shared" si="2"/>
        <v>#REF!</v>
      </c>
      <c r="U24" s="267" t="e">
        <f t="shared" si="3"/>
        <v>#REF!</v>
      </c>
      <c r="V24" s="8" t="e">
        <f>#REF!</f>
        <v>#REF!</v>
      </c>
      <c r="W24" s="5" t="e">
        <f>#REF!</f>
        <v>#REF!</v>
      </c>
      <c r="X24" s="5" t="e">
        <f>#REF!</f>
        <v>#REF!</v>
      </c>
      <c r="Y24" s="5" t="e">
        <f>#REF!</f>
        <v>#REF!</v>
      </c>
      <c r="Z24" s="262" t="e">
        <f>#REF!</f>
        <v>#REF!</v>
      </c>
      <c r="AA24" s="271" t="e">
        <f>#REF!</f>
        <v>#REF!</v>
      </c>
      <c r="AB24" s="262" t="e">
        <f>#REF!</f>
        <v>#REF!</v>
      </c>
      <c r="AC24" s="271" t="e">
        <f>#REF!</f>
        <v>#REF!</v>
      </c>
      <c r="AD24" s="262" t="e">
        <f>#REF!</f>
        <v>#REF!</v>
      </c>
      <c r="AE24" s="271" t="e">
        <f>#REF!</f>
        <v>#REF!</v>
      </c>
      <c r="AF24" s="262" t="e">
        <f>#REF!</f>
        <v>#REF!</v>
      </c>
      <c r="AG24" s="249">
        <f t="shared" si="4"/>
        <v>0</v>
      </c>
      <c r="AH24" s="249" t="e">
        <f t="shared" si="5"/>
        <v>#REF!</v>
      </c>
      <c r="AI24" s="249" t="e">
        <f t="shared" si="6"/>
        <v>#REF!</v>
      </c>
      <c r="AJ24" s="8" t="e">
        <f>#REF!</f>
        <v>#REF!</v>
      </c>
      <c r="AK24" s="5" t="e">
        <f>#REF!</f>
        <v>#REF!</v>
      </c>
      <c r="AL24" s="5" t="e">
        <f>#REF!</f>
        <v>#REF!</v>
      </c>
      <c r="AM24" s="5" t="e">
        <f>#REF!</f>
        <v>#REF!</v>
      </c>
      <c r="AN24" s="332" t="e">
        <f>#REF!</f>
        <v>#REF!</v>
      </c>
      <c r="AO24" s="350" t="e">
        <f>#REF!</f>
        <v>#REF!</v>
      </c>
      <c r="AP24" s="332" t="e">
        <f>#REF!</f>
        <v>#REF!</v>
      </c>
      <c r="AQ24" s="350" t="e">
        <f>#REF!</f>
        <v>#REF!</v>
      </c>
      <c r="AR24" s="332" t="e">
        <f>#REF!</f>
        <v>#REF!</v>
      </c>
      <c r="AS24" s="350" t="e">
        <f>#REF!</f>
        <v>#REF!</v>
      </c>
      <c r="AT24" s="332" t="e">
        <f>#REF!</f>
        <v>#REF!</v>
      </c>
      <c r="AU24" s="363">
        <f t="shared" si="7"/>
        <v>0</v>
      </c>
      <c r="AV24" s="363" t="e">
        <f t="shared" si="8"/>
        <v>#REF!</v>
      </c>
      <c r="AW24" s="363" t="e">
        <f t="shared" si="9"/>
        <v>#REF!</v>
      </c>
      <c r="AX24" s="8" t="e">
        <f>#REF!</f>
        <v>#REF!</v>
      </c>
    </row>
    <row r="25" spans="1:50" ht="20.25" customHeight="1" x14ac:dyDescent="0.25">
      <c r="A25" s="594"/>
      <c r="B25" s="517"/>
      <c r="C25" s="257" t="str">
        <f>Asignación!A19</f>
        <v>SF-PY5.3</v>
      </c>
      <c r="D25" s="258" t="str">
        <f>Asignación!B19</f>
        <v>Creación de material educativo en formato digital.</v>
      </c>
      <c r="E25" s="257">
        <f>Asignación!C19</f>
        <v>510</v>
      </c>
      <c r="F25" s="4" t="s">
        <v>72</v>
      </c>
      <c r="G25" s="357" t="e">
        <f>#REF!</f>
        <v>#REF!</v>
      </c>
      <c r="H25" s="94" t="e">
        <f>#REF!</f>
        <v>#REF!</v>
      </c>
      <c r="I25" s="5">
        <f>Asignación!K19</f>
        <v>0</v>
      </c>
      <c r="J25" s="5" t="e">
        <f>#REF!</f>
        <v>#REF!</v>
      </c>
      <c r="K25" s="5" t="e">
        <f t="shared" si="10"/>
        <v>#REF!</v>
      </c>
      <c r="L25" s="246" t="e">
        <f>#REF!</f>
        <v>#REF!</v>
      </c>
      <c r="M25" s="246" t="e">
        <f>#REF!</f>
        <v>#REF!</v>
      </c>
      <c r="N25" s="246" t="e">
        <f>#REF!</f>
        <v>#REF!</v>
      </c>
      <c r="O25" s="246" t="e">
        <f>#REF!</f>
        <v>#REF!</v>
      </c>
      <c r="P25" s="246" t="e">
        <f>#REF!</f>
        <v>#REF!</v>
      </c>
      <c r="Q25" s="246" t="e">
        <f>#REF!</f>
        <v>#REF!</v>
      </c>
      <c r="R25" s="246" t="e">
        <f>#REF!</f>
        <v>#REF!</v>
      </c>
      <c r="S25" s="267">
        <f t="shared" si="1"/>
        <v>0</v>
      </c>
      <c r="T25" s="267" t="e">
        <f t="shared" si="2"/>
        <v>#REF!</v>
      </c>
      <c r="U25" s="267" t="e">
        <f t="shared" si="3"/>
        <v>#REF!</v>
      </c>
      <c r="V25" s="8" t="e">
        <f>#REF!</f>
        <v>#REF!</v>
      </c>
      <c r="W25" s="5" t="e">
        <f>#REF!</f>
        <v>#REF!</v>
      </c>
      <c r="X25" s="5" t="e">
        <f>#REF!</f>
        <v>#REF!</v>
      </c>
      <c r="Y25" s="5" t="e">
        <f>#REF!</f>
        <v>#REF!</v>
      </c>
      <c r="Z25" s="262" t="e">
        <f>#REF!</f>
        <v>#REF!</v>
      </c>
      <c r="AA25" s="271" t="e">
        <f>#REF!</f>
        <v>#REF!</v>
      </c>
      <c r="AB25" s="262" t="e">
        <f>#REF!</f>
        <v>#REF!</v>
      </c>
      <c r="AC25" s="271" t="e">
        <f>#REF!</f>
        <v>#REF!</v>
      </c>
      <c r="AD25" s="262" t="e">
        <f>#REF!</f>
        <v>#REF!</v>
      </c>
      <c r="AE25" s="271" t="e">
        <f>#REF!</f>
        <v>#REF!</v>
      </c>
      <c r="AF25" s="262" t="e">
        <f>#REF!</f>
        <v>#REF!</v>
      </c>
      <c r="AG25" s="249">
        <f t="shared" si="4"/>
        <v>0</v>
      </c>
      <c r="AH25" s="249" t="e">
        <f t="shared" si="5"/>
        <v>#REF!</v>
      </c>
      <c r="AI25" s="249" t="e">
        <f t="shared" si="6"/>
        <v>#REF!</v>
      </c>
      <c r="AJ25" s="8" t="e">
        <f>#REF!</f>
        <v>#REF!</v>
      </c>
      <c r="AK25" s="5" t="e">
        <f>#REF!</f>
        <v>#REF!</v>
      </c>
      <c r="AL25" s="5" t="e">
        <f>#REF!</f>
        <v>#REF!</v>
      </c>
      <c r="AM25" s="5" t="e">
        <f>#REF!</f>
        <v>#REF!</v>
      </c>
      <c r="AN25" s="332" t="e">
        <f>#REF!</f>
        <v>#REF!</v>
      </c>
      <c r="AO25" s="350" t="e">
        <f>#REF!</f>
        <v>#REF!</v>
      </c>
      <c r="AP25" s="332" t="e">
        <f>#REF!</f>
        <v>#REF!</v>
      </c>
      <c r="AQ25" s="350" t="e">
        <f>#REF!</f>
        <v>#REF!</v>
      </c>
      <c r="AR25" s="332" t="e">
        <f>#REF!</f>
        <v>#REF!</v>
      </c>
      <c r="AS25" s="350" t="e">
        <f>#REF!</f>
        <v>#REF!</v>
      </c>
      <c r="AT25" s="332" t="e">
        <f>#REF!</f>
        <v>#REF!</v>
      </c>
      <c r="AU25" s="363">
        <f t="shared" si="7"/>
        <v>0</v>
      </c>
      <c r="AV25" s="363" t="e">
        <f t="shared" si="8"/>
        <v>#REF!</v>
      </c>
      <c r="AW25" s="363" t="e">
        <f t="shared" si="9"/>
        <v>#REF!</v>
      </c>
      <c r="AX25" s="8" t="e">
        <f>#REF!</f>
        <v>#REF!</v>
      </c>
    </row>
    <row r="26" spans="1:50" ht="53.25" customHeight="1" x14ac:dyDescent="0.25">
      <c r="A26" s="594"/>
      <c r="B26" s="615" t="s">
        <v>73</v>
      </c>
      <c r="C26" s="257" t="str">
        <f>Asignación!A20</f>
        <v>SF-PY6.1</v>
      </c>
      <c r="D26" s="258" t="str">
        <f>Asignación!B20</f>
        <v>Convocatoria Banco Docentes Ocasionales 2017.</v>
      </c>
      <c r="E26" s="257">
        <f>Asignación!C20</f>
        <v>510</v>
      </c>
      <c r="F26" s="4" t="s">
        <v>31</v>
      </c>
      <c r="G26" s="357" t="e">
        <f>#REF!</f>
        <v>#REF!</v>
      </c>
      <c r="H26" s="94" t="e">
        <f>#REF!</f>
        <v>#REF!</v>
      </c>
      <c r="I26" s="5">
        <f>Asignación!K20</f>
        <v>0</v>
      </c>
      <c r="J26" s="5" t="e">
        <f>#REF!</f>
        <v>#REF!</v>
      </c>
      <c r="K26" s="5" t="e">
        <f t="shared" si="10"/>
        <v>#REF!</v>
      </c>
      <c r="L26" s="246" t="e">
        <f>#REF!</f>
        <v>#REF!</v>
      </c>
      <c r="M26" s="246" t="e">
        <f>#REF!</f>
        <v>#REF!</v>
      </c>
      <c r="N26" s="246" t="e">
        <f>#REF!</f>
        <v>#REF!</v>
      </c>
      <c r="O26" s="246" t="e">
        <f>#REF!</f>
        <v>#REF!</v>
      </c>
      <c r="P26" s="246" t="e">
        <f>#REF!</f>
        <v>#REF!</v>
      </c>
      <c r="Q26" s="246" t="e">
        <f>#REF!</f>
        <v>#REF!</v>
      </c>
      <c r="R26" s="246" t="e">
        <f>#REF!</f>
        <v>#REF!</v>
      </c>
      <c r="S26" s="267">
        <f t="shared" si="1"/>
        <v>0</v>
      </c>
      <c r="T26" s="267" t="e">
        <f t="shared" si="2"/>
        <v>#REF!</v>
      </c>
      <c r="U26" s="267" t="e">
        <f t="shared" si="3"/>
        <v>#REF!</v>
      </c>
      <c r="V26" s="8" t="e">
        <f>#REF!</f>
        <v>#REF!</v>
      </c>
      <c r="W26" s="5" t="e">
        <f>#REF!</f>
        <v>#REF!</v>
      </c>
      <c r="X26" s="5" t="e">
        <f>#REF!</f>
        <v>#REF!</v>
      </c>
      <c r="Y26" s="5" t="e">
        <f>#REF!</f>
        <v>#REF!</v>
      </c>
      <c r="Z26" s="262" t="e">
        <f>#REF!</f>
        <v>#REF!</v>
      </c>
      <c r="AA26" s="271" t="e">
        <f>#REF!</f>
        <v>#REF!</v>
      </c>
      <c r="AB26" s="262" t="e">
        <f>#REF!</f>
        <v>#REF!</v>
      </c>
      <c r="AC26" s="271" t="e">
        <f>#REF!</f>
        <v>#REF!</v>
      </c>
      <c r="AD26" s="262" t="e">
        <f>#REF!</f>
        <v>#REF!</v>
      </c>
      <c r="AE26" s="271" t="e">
        <f>#REF!</f>
        <v>#REF!</v>
      </c>
      <c r="AF26" s="262" t="e">
        <f>#REF!</f>
        <v>#REF!</v>
      </c>
      <c r="AG26" s="249">
        <f t="shared" si="4"/>
        <v>0</v>
      </c>
      <c r="AH26" s="249" t="e">
        <f t="shared" si="5"/>
        <v>#REF!</v>
      </c>
      <c r="AI26" s="249" t="e">
        <f t="shared" si="6"/>
        <v>#REF!</v>
      </c>
      <c r="AJ26" s="8" t="e">
        <f>#REF!</f>
        <v>#REF!</v>
      </c>
      <c r="AK26" s="5" t="e">
        <f>#REF!</f>
        <v>#REF!</v>
      </c>
      <c r="AL26" s="5" t="e">
        <f>#REF!</f>
        <v>#REF!</v>
      </c>
      <c r="AM26" s="5" t="e">
        <f>#REF!</f>
        <v>#REF!</v>
      </c>
      <c r="AN26" s="332" t="e">
        <f>#REF!</f>
        <v>#REF!</v>
      </c>
      <c r="AO26" s="350" t="e">
        <f>#REF!</f>
        <v>#REF!</v>
      </c>
      <c r="AP26" s="332" t="e">
        <f>#REF!</f>
        <v>#REF!</v>
      </c>
      <c r="AQ26" s="350" t="e">
        <f>#REF!</f>
        <v>#REF!</v>
      </c>
      <c r="AR26" s="332" t="e">
        <f>#REF!</f>
        <v>#REF!</v>
      </c>
      <c r="AS26" s="350" t="e">
        <f>#REF!</f>
        <v>#REF!</v>
      </c>
      <c r="AT26" s="332" t="e">
        <f>#REF!</f>
        <v>#REF!</v>
      </c>
      <c r="AU26" s="363">
        <f t="shared" si="7"/>
        <v>0</v>
      </c>
      <c r="AV26" s="363" t="e">
        <f t="shared" si="8"/>
        <v>#REF!</v>
      </c>
      <c r="AW26" s="363" t="e">
        <f t="shared" si="9"/>
        <v>#REF!</v>
      </c>
      <c r="AX26" s="8" t="e">
        <f>#REF!</f>
        <v>#REF!</v>
      </c>
    </row>
    <row r="27" spans="1:50" ht="53.25" customHeight="1" x14ac:dyDescent="0.25">
      <c r="A27" s="594"/>
      <c r="B27" s="616"/>
      <c r="C27" s="257" t="str">
        <f>Asignación!A21</f>
        <v>SF-PY6.2</v>
      </c>
      <c r="D27" s="258" t="str">
        <f>Asignación!B21</f>
        <v>Evaluar y reformar la actual política de relevo generacional con base en criterios de excelencia académica, edad, otros (Documento aprobado). Proceso Acreditación.</v>
      </c>
      <c r="E27" s="257">
        <f>Asignación!C21</f>
        <v>510</v>
      </c>
      <c r="F27" s="266"/>
      <c r="G27" s="357">
        <v>0</v>
      </c>
      <c r="H27" s="94"/>
      <c r="I27" s="5">
        <f>Asignación!K21</f>
        <v>0</v>
      </c>
      <c r="J27" s="5"/>
      <c r="K27" s="5"/>
      <c r="L27" s="262"/>
      <c r="M27" s="262"/>
      <c r="N27" s="262"/>
      <c r="O27" s="262"/>
      <c r="P27" s="262"/>
      <c r="Q27" s="262"/>
      <c r="R27" s="262"/>
      <c r="S27" s="267"/>
      <c r="T27" s="267"/>
      <c r="U27" s="267"/>
      <c r="V27" s="8"/>
      <c r="W27" s="5" t="e">
        <f>#REF!</f>
        <v>#REF!</v>
      </c>
      <c r="X27" s="5" t="e">
        <f>#REF!</f>
        <v>#REF!</v>
      </c>
      <c r="Y27" s="5" t="e">
        <f>#REF!</f>
        <v>#REF!</v>
      </c>
      <c r="Z27" s="262" t="e">
        <f>#REF!</f>
        <v>#REF!</v>
      </c>
      <c r="AA27" s="271" t="e">
        <f>#REF!</f>
        <v>#REF!</v>
      </c>
      <c r="AB27" s="262" t="e">
        <f>#REF!</f>
        <v>#REF!</v>
      </c>
      <c r="AC27" s="271" t="e">
        <f>#REF!</f>
        <v>#REF!</v>
      </c>
      <c r="AD27" s="262" t="e">
        <f>#REF!</f>
        <v>#REF!</v>
      </c>
      <c r="AE27" s="271" t="e">
        <f>#REF!</f>
        <v>#REF!</v>
      </c>
      <c r="AF27" s="262" t="e">
        <f>#REF!</f>
        <v>#REF!</v>
      </c>
      <c r="AG27" s="267">
        <f t="shared" ref="AG27" si="11">IFERROR((X27/W27),0)</f>
        <v>0</v>
      </c>
      <c r="AH27" s="267" t="e">
        <f t="shared" ref="AH27" si="12">AA27+AC27+AE27</f>
        <v>#REF!</v>
      </c>
      <c r="AI27" s="267" t="e">
        <f t="shared" ref="AI27" si="13">(AG27+AH27)/2</f>
        <v>#REF!</v>
      </c>
      <c r="AJ27" s="8" t="e">
        <f>#REF!</f>
        <v>#REF!</v>
      </c>
      <c r="AK27" s="5" t="e">
        <f>#REF!</f>
        <v>#REF!</v>
      </c>
      <c r="AL27" s="5" t="e">
        <f>#REF!</f>
        <v>#REF!</v>
      </c>
      <c r="AM27" s="5" t="e">
        <f>#REF!</f>
        <v>#REF!</v>
      </c>
      <c r="AN27" s="332" t="e">
        <f>#REF!</f>
        <v>#REF!</v>
      </c>
      <c r="AO27" s="350" t="e">
        <f>#REF!</f>
        <v>#REF!</v>
      </c>
      <c r="AP27" s="332" t="e">
        <f>#REF!</f>
        <v>#REF!</v>
      </c>
      <c r="AQ27" s="350" t="e">
        <f>#REF!</f>
        <v>#REF!</v>
      </c>
      <c r="AR27" s="332" t="e">
        <f>#REF!</f>
        <v>#REF!</v>
      </c>
      <c r="AS27" s="350" t="e">
        <f>#REF!</f>
        <v>#REF!</v>
      </c>
      <c r="AT27" s="332" t="e">
        <f>#REF!</f>
        <v>#REF!</v>
      </c>
      <c r="AU27" s="363">
        <f t="shared" si="7"/>
        <v>0</v>
      </c>
      <c r="AV27" s="363" t="e">
        <f t="shared" si="8"/>
        <v>#REF!</v>
      </c>
      <c r="AW27" s="363" t="e">
        <f t="shared" si="9"/>
        <v>#REF!</v>
      </c>
      <c r="AX27" s="8" t="e">
        <f>#REF!</f>
        <v>#REF!</v>
      </c>
    </row>
    <row r="28" spans="1:50" ht="33" customHeight="1" x14ac:dyDescent="0.25">
      <c r="A28" s="594"/>
      <c r="B28" s="612" t="s">
        <v>76</v>
      </c>
      <c r="C28" s="257" t="str">
        <f>Asignación!A22</f>
        <v>SF-PY7.1</v>
      </c>
      <c r="D28" s="258" t="str">
        <f>Asignación!B22</f>
        <v>Portal Laboral, fortalecimiento del vínculo empresa-universidad-estado.</v>
      </c>
      <c r="E28" s="257">
        <f>Asignación!C22</f>
        <v>510</v>
      </c>
      <c r="F28" s="4" t="s">
        <v>31</v>
      </c>
      <c r="G28" s="94" t="e">
        <f>#REF!</f>
        <v>#REF!</v>
      </c>
      <c r="H28" s="94" t="e">
        <f>#REF!</f>
        <v>#REF!</v>
      </c>
      <c r="I28" s="5">
        <f>Asignación!K22</f>
        <v>12000000</v>
      </c>
      <c r="J28" s="5" t="e">
        <f>#REF!</f>
        <v>#REF!</v>
      </c>
      <c r="K28" s="5" t="e">
        <f t="shared" si="10"/>
        <v>#REF!</v>
      </c>
      <c r="L28" s="246" t="e">
        <f>#REF!</f>
        <v>#REF!</v>
      </c>
      <c r="M28" s="246" t="e">
        <f>#REF!</f>
        <v>#REF!</v>
      </c>
      <c r="N28" s="246" t="e">
        <f>#REF!</f>
        <v>#REF!</v>
      </c>
      <c r="O28" s="246" t="e">
        <f>#REF!</f>
        <v>#REF!</v>
      </c>
      <c r="P28" s="246" t="e">
        <f>#REF!</f>
        <v>#REF!</v>
      </c>
      <c r="Q28" s="246" t="e">
        <f>#REF!</f>
        <v>#REF!</v>
      </c>
      <c r="R28" s="246" t="e">
        <f>#REF!</f>
        <v>#REF!</v>
      </c>
      <c r="S28" s="267">
        <f t="shared" si="1"/>
        <v>0</v>
      </c>
      <c r="T28" s="267" t="e">
        <f t="shared" si="2"/>
        <v>#REF!</v>
      </c>
      <c r="U28" s="267" t="e">
        <f t="shared" si="3"/>
        <v>#REF!</v>
      </c>
      <c r="V28" s="8" t="e">
        <f>#REF!</f>
        <v>#REF!</v>
      </c>
      <c r="W28" s="5" t="e">
        <f>#REF!</f>
        <v>#REF!</v>
      </c>
      <c r="X28" s="5" t="e">
        <f>#REF!</f>
        <v>#REF!</v>
      </c>
      <c r="Y28" s="5" t="e">
        <f>#REF!</f>
        <v>#REF!</v>
      </c>
      <c r="Z28" s="262" t="e">
        <f>#REF!</f>
        <v>#REF!</v>
      </c>
      <c r="AA28" s="271" t="e">
        <f>#REF!</f>
        <v>#REF!</v>
      </c>
      <c r="AB28" s="262" t="e">
        <f>#REF!</f>
        <v>#REF!</v>
      </c>
      <c r="AC28" s="271" t="e">
        <f>#REF!</f>
        <v>#REF!</v>
      </c>
      <c r="AD28" s="262" t="e">
        <f>#REF!</f>
        <v>#REF!</v>
      </c>
      <c r="AE28" s="271" t="e">
        <f>#REF!</f>
        <v>#REF!</v>
      </c>
      <c r="AF28" s="262" t="e">
        <f>#REF!</f>
        <v>#REF!</v>
      </c>
      <c r="AG28" s="249">
        <f t="shared" si="4"/>
        <v>0</v>
      </c>
      <c r="AH28" s="249" t="e">
        <f t="shared" si="5"/>
        <v>#REF!</v>
      </c>
      <c r="AI28" s="249" t="e">
        <f t="shared" si="6"/>
        <v>#REF!</v>
      </c>
      <c r="AJ28" s="8" t="e">
        <f>#REF!</f>
        <v>#REF!</v>
      </c>
      <c r="AK28" s="5" t="e">
        <f>#REF!</f>
        <v>#REF!</v>
      </c>
      <c r="AL28" s="5" t="e">
        <f>#REF!</f>
        <v>#REF!</v>
      </c>
      <c r="AM28" s="5" t="e">
        <f>#REF!</f>
        <v>#REF!</v>
      </c>
      <c r="AN28" s="332" t="e">
        <f>#REF!</f>
        <v>#REF!</v>
      </c>
      <c r="AO28" s="350" t="e">
        <f>#REF!</f>
        <v>#REF!</v>
      </c>
      <c r="AP28" s="332" t="e">
        <f>#REF!</f>
        <v>#REF!</v>
      </c>
      <c r="AQ28" s="350" t="e">
        <f>#REF!</f>
        <v>#REF!</v>
      </c>
      <c r="AR28" s="332" t="e">
        <f>#REF!</f>
        <v>#REF!</v>
      </c>
      <c r="AS28" s="350" t="e">
        <f>#REF!</f>
        <v>#REF!</v>
      </c>
      <c r="AT28" s="332" t="e">
        <f>#REF!</f>
        <v>#REF!</v>
      </c>
      <c r="AU28" s="363">
        <f t="shared" si="7"/>
        <v>0</v>
      </c>
      <c r="AV28" s="363" t="e">
        <f t="shared" si="8"/>
        <v>#REF!</v>
      </c>
      <c r="AW28" s="363" t="e">
        <f t="shared" si="9"/>
        <v>#REF!</v>
      </c>
      <c r="AX28" s="8" t="e">
        <f>#REF!</f>
        <v>#REF!</v>
      </c>
    </row>
    <row r="29" spans="1:50" ht="42" customHeight="1" x14ac:dyDescent="0.25">
      <c r="A29" s="594"/>
      <c r="B29" s="613"/>
      <c r="C29" s="257" t="str">
        <f>Asignación!A23</f>
        <v>SF-PY7.2</v>
      </c>
      <c r="D29" s="258" t="str">
        <f>Asignación!B23</f>
        <v>Programa de Seguimiento a Graduados, Apoyo a procesos de educación continuada.</v>
      </c>
      <c r="E29" s="257">
        <f>Asignación!C23</f>
        <v>510</v>
      </c>
      <c r="F29" s="4" t="s">
        <v>81</v>
      </c>
      <c r="G29" s="94" t="e">
        <f>#REF!</f>
        <v>#REF!</v>
      </c>
      <c r="H29" s="94" t="e">
        <f>#REF!</f>
        <v>#REF!</v>
      </c>
      <c r="I29" s="5">
        <f>Asignación!K23</f>
        <v>73500000</v>
      </c>
      <c r="J29" s="5" t="e">
        <f>#REF!</f>
        <v>#REF!</v>
      </c>
      <c r="K29" s="5" t="e">
        <f t="shared" si="10"/>
        <v>#REF!</v>
      </c>
      <c r="L29" s="246" t="e">
        <f>#REF!</f>
        <v>#REF!</v>
      </c>
      <c r="M29" s="246" t="e">
        <f>#REF!</f>
        <v>#REF!</v>
      </c>
      <c r="N29" s="246" t="e">
        <f>#REF!</f>
        <v>#REF!</v>
      </c>
      <c r="O29" s="246" t="e">
        <f>#REF!</f>
        <v>#REF!</v>
      </c>
      <c r="P29" s="246" t="e">
        <f>#REF!</f>
        <v>#REF!</v>
      </c>
      <c r="Q29" s="246" t="e">
        <f>#REF!</f>
        <v>#REF!</v>
      </c>
      <c r="R29" s="246" t="e">
        <f>#REF!</f>
        <v>#REF!</v>
      </c>
      <c r="S29" s="267">
        <f t="shared" si="1"/>
        <v>0</v>
      </c>
      <c r="T29" s="267" t="e">
        <f t="shared" si="2"/>
        <v>#REF!</v>
      </c>
      <c r="U29" s="267" t="e">
        <f t="shared" si="3"/>
        <v>#REF!</v>
      </c>
      <c r="V29" s="8" t="e">
        <f>#REF!</f>
        <v>#REF!</v>
      </c>
      <c r="W29" s="5" t="e">
        <f>#REF!</f>
        <v>#REF!</v>
      </c>
      <c r="X29" s="5" t="e">
        <f>#REF!</f>
        <v>#REF!</v>
      </c>
      <c r="Y29" s="5" t="e">
        <f>#REF!</f>
        <v>#REF!</v>
      </c>
      <c r="Z29" s="262" t="e">
        <f>#REF!</f>
        <v>#REF!</v>
      </c>
      <c r="AA29" s="271" t="e">
        <f>#REF!</f>
        <v>#REF!</v>
      </c>
      <c r="AB29" s="262" t="e">
        <f>#REF!</f>
        <v>#REF!</v>
      </c>
      <c r="AC29" s="271" t="e">
        <f>#REF!</f>
        <v>#REF!</v>
      </c>
      <c r="AD29" s="262" t="e">
        <f>#REF!</f>
        <v>#REF!</v>
      </c>
      <c r="AE29" s="271" t="e">
        <f>#REF!</f>
        <v>#REF!</v>
      </c>
      <c r="AF29" s="262" t="e">
        <f>#REF!</f>
        <v>#REF!</v>
      </c>
      <c r="AG29" s="249">
        <f t="shared" si="4"/>
        <v>0</v>
      </c>
      <c r="AH29" s="249" t="e">
        <f t="shared" si="5"/>
        <v>#REF!</v>
      </c>
      <c r="AI29" s="249" t="e">
        <f t="shared" si="6"/>
        <v>#REF!</v>
      </c>
      <c r="AJ29" s="8" t="e">
        <f>#REF!</f>
        <v>#REF!</v>
      </c>
      <c r="AK29" s="5" t="e">
        <f>#REF!</f>
        <v>#REF!</v>
      </c>
      <c r="AL29" s="5" t="e">
        <f>#REF!</f>
        <v>#REF!</v>
      </c>
      <c r="AM29" s="5" t="e">
        <f>#REF!</f>
        <v>#REF!</v>
      </c>
      <c r="AN29" s="332" t="e">
        <f>#REF!</f>
        <v>#REF!</v>
      </c>
      <c r="AO29" s="350" t="e">
        <f>#REF!</f>
        <v>#REF!</v>
      </c>
      <c r="AP29" s="332" t="e">
        <f>#REF!</f>
        <v>#REF!</v>
      </c>
      <c r="AQ29" s="350" t="e">
        <f>#REF!</f>
        <v>#REF!</v>
      </c>
      <c r="AR29" s="332" t="e">
        <f>#REF!</f>
        <v>#REF!</v>
      </c>
      <c r="AS29" s="350" t="e">
        <f>#REF!</f>
        <v>#REF!</v>
      </c>
      <c r="AT29" s="332" t="e">
        <f>#REF!</f>
        <v>#REF!</v>
      </c>
      <c r="AU29" s="363">
        <f t="shared" si="7"/>
        <v>0</v>
      </c>
      <c r="AV29" s="363" t="e">
        <f t="shared" si="8"/>
        <v>#REF!</v>
      </c>
      <c r="AW29" s="363" t="e">
        <f t="shared" si="9"/>
        <v>#REF!</v>
      </c>
      <c r="AX29" s="8" t="e">
        <f>#REF!</f>
        <v>#REF!</v>
      </c>
    </row>
    <row r="30" spans="1:50" ht="34.5" customHeight="1" x14ac:dyDescent="0.25">
      <c r="A30" s="608"/>
      <c r="B30" s="614"/>
      <c r="C30" s="257" t="str">
        <f>Asignación!A24</f>
        <v>SF-PY7.3</v>
      </c>
      <c r="D30" s="258" t="str">
        <f>Asignación!B24</f>
        <v>Mejoramiento de la infraestructura tecnologica para el segumiento a egresados.</v>
      </c>
      <c r="E30" s="257">
        <f>Asignación!C24</f>
        <v>510</v>
      </c>
      <c r="F30" s="4" t="s">
        <v>31</v>
      </c>
      <c r="G30" s="94" t="e">
        <f>#REF!</f>
        <v>#REF!</v>
      </c>
      <c r="H30" s="94" t="e">
        <f>#REF!</f>
        <v>#REF!</v>
      </c>
      <c r="I30" s="5">
        <f>Asignación!K24</f>
        <v>20000000</v>
      </c>
      <c r="J30" s="5" t="e">
        <f>#REF!</f>
        <v>#REF!</v>
      </c>
      <c r="K30" s="5" t="e">
        <f t="shared" si="10"/>
        <v>#REF!</v>
      </c>
      <c r="L30" s="246" t="e">
        <f>#REF!</f>
        <v>#REF!</v>
      </c>
      <c r="M30" s="246" t="e">
        <f>#REF!</f>
        <v>#REF!</v>
      </c>
      <c r="N30" s="246" t="e">
        <f>#REF!</f>
        <v>#REF!</v>
      </c>
      <c r="O30" s="246" t="e">
        <f>#REF!</f>
        <v>#REF!</v>
      </c>
      <c r="P30" s="246" t="e">
        <f>#REF!</f>
        <v>#REF!</v>
      </c>
      <c r="Q30" s="246" t="e">
        <f>#REF!</f>
        <v>#REF!</v>
      </c>
      <c r="R30" s="246" t="e">
        <f>#REF!</f>
        <v>#REF!</v>
      </c>
      <c r="S30" s="267">
        <f t="shared" si="1"/>
        <v>0</v>
      </c>
      <c r="T30" s="267" t="e">
        <f t="shared" si="2"/>
        <v>#REF!</v>
      </c>
      <c r="U30" s="267" t="e">
        <f t="shared" si="3"/>
        <v>#REF!</v>
      </c>
      <c r="V30" s="8" t="e">
        <f>#REF!</f>
        <v>#REF!</v>
      </c>
      <c r="W30" s="5" t="e">
        <f>#REF!</f>
        <v>#REF!</v>
      </c>
      <c r="X30" s="5" t="e">
        <f>#REF!</f>
        <v>#REF!</v>
      </c>
      <c r="Y30" s="5" t="e">
        <f>#REF!</f>
        <v>#REF!</v>
      </c>
      <c r="Z30" s="262" t="e">
        <f>#REF!</f>
        <v>#REF!</v>
      </c>
      <c r="AA30" s="271" t="e">
        <f>#REF!</f>
        <v>#REF!</v>
      </c>
      <c r="AB30" s="262" t="e">
        <f>#REF!</f>
        <v>#REF!</v>
      </c>
      <c r="AC30" s="271" t="e">
        <f>#REF!</f>
        <v>#REF!</v>
      </c>
      <c r="AD30" s="262" t="e">
        <f>#REF!</f>
        <v>#REF!</v>
      </c>
      <c r="AE30" s="271" t="e">
        <f>#REF!</f>
        <v>#REF!</v>
      </c>
      <c r="AF30" s="262" t="e">
        <f>#REF!</f>
        <v>#REF!</v>
      </c>
      <c r="AG30" s="249">
        <f t="shared" si="4"/>
        <v>0</v>
      </c>
      <c r="AH30" s="249" t="e">
        <f t="shared" si="5"/>
        <v>#REF!</v>
      </c>
      <c r="AI30" s="249" t="e">
        <f t="shared" si="6"/>
        <v>#REF!</v>
      </c>
      <c r="AJ30" s="8" t="e">
        <f>#REF!</f>
        <v>#REF!</v>
      </c>
      <c r="AK30" s="5" t="e">
        <f>#REF!</f>
        <v>#REF!</v>
      </c>
      <c r="AL30" s="5" t="e">
        <f>#REF!</f>
        <v>#REF!</v>
      </c>
      <c r="AM30" s="5" t="e">
        <f>#REF!</f>
        <v>#REF!</v>
      </c>
      <c r="AN30" s="332" t="e">
        <f>#REF!</f>
        <v>#REF!</v>
      </c>
      <c r="AO30" s="350" t="e">
        <f>#REF!</f>
        <v>#REF!</v>
      </c>
      <c r="AP30" s="332" t="e">
        <f>#REF!</f>
        <v>#REF!</v>
      </c>
      <c r="AQ30" s="350" t="e">
        <f>#REF!</f>
        <v>#REF!</v>
      </c>
      <c r="AR30" s="332" t="e">
        <f>#REF!</f>
        <v>#REF!</v>
      </c>
      <c r="AS30" s="350" t="e">
        <f>#REF!</f>
        <v>#REF!</v>
      </c>
      <c r="AT30" s="332" t="e">
        <f>#REF!</f>
        <v>#REF!</v>
      </c>
      <c r="AU30" s="363">
        <f t="shared" si="7"/>
        <v>0</v>
      </c>
      <c r="AV30" s="363" t="e">
        <f t="shared" si="8"/>
        <v>#REF!</v>
      </c>
      <c r="AW30" s="363" t="e">
        <f t="shared" si="9"/>
        <v>#REF!</v>
      </c>
      <c r="AX30" s="8" t="e">
        <f>#REF!</f>
        <v>#REF!</v>
      </c>
    </row>
    <row r="31" spans="1:50" s="17" customFormat="1" ht="17.25" customHeight="1" x14ac:dyDescent="0.25">
      <c r="A31" s="13"/>
      <c r="B31" s="526" t="s">
        <v>84</v>
      </c>
      <c r="C31" s="526"/>
      <c r="D31" s="526"/>
      <c r="E31" s="526"/>
      <c r="F31" s="14"/>
      <c r="G31" s="14"/>
      <c r="H31" s="14"/>
      <c r="I31" s="15">
        <f>SUM(I9:I30)</f>
        <v>1730258531</v>
      </c>
      <c r="J31" s="15" t="e">
        <f>SUM(J9:J30)</f>
        <v>#REF!</v>
      </c>
      <c r="K31" s="15" t="e">
        <f>SUM(K9:K30)</f>
        <v>#REF!</v>
      </c>
      <c r="L31" s="16"/>
      <c r="M31" s="16"/>
      <c r="N31" s="16"/>
      <c r="O31" s="16"/>
      <c r="P31" s="16"/>
      <c r="Q31" s="16"/>
      <c r="R31" s="16"/>
      <c r="S31" s="16"/>
      <c r="T31" s="16"/>
      <c r="U31" s="16"/>
      <c r="V31" s="16"/>
      <c r="W31" s="15" t="e">
        <f>SUM(W9:W30)</f>
        <v>#REF!</v>
      </c>
      <c r="X31" s="15" t="e">
        <f>SUM(X9:X30)</f>
        <v>#REF!</v>
      </c>
      <c r="Y31" s="15" t="e">
        <f>SUM(Y9:Y30)</f>
        <v>#REF!</v>
      </c>
      <c r="Z31" s="16"/>
      <c r="AA31" s="16"/>
      <c r="AB31" s="16"/>
      <c r="AC31" s="16"/>
      <c r="AD31" s="16"/>
      <c r="AE31" s="16"/>
      <c r="AF31" s="16"/>
      <c r="AG31" s="16"/>
      <c r="AH31" s="16"/>
      <c r="AI31" s="16"/>
      <c r="AJ31" s="16"/>
      <c r="AK31" s="15" t="e">
        <f>SUM(AK9:AK30)</f>
        <v>#REF!</v>
      </c>
      <c r="AL31" s="15" t="e">
        <f>SUM(AL9:AL30)</f>
        <v>#REF!</v>
      </c>
      <c r="AM31" s="15" t="e">
        <f>SUM(AM9:AM30)</f>
        <v>#REF!</v>
      </c>
      <c r="AN31" s="16"/>
      <c r="AO31" s="16"/>
      <c r="AP31" s="16"/>
      <c r="AQ31" s="16"/>
      <c r="AR31" s="16"/>
      <c r="AS31" s="16"/>
      <c r="AT31" s="16"/>
      <c r="AU31" s="16"/>
      <c r="AV31" s="16"/>
      <c r="AW31" s="16"/>
      <c r="AX31" s="16"/>
    </row>
    <row r="32" spans="1:50" ht="210" x14ac:dyDescent="0.25">
      <c r="A32" s="607" t="s">
        <v>85</v>
      </c>
      <c r="B32" s="541" t="s">
        <v>86</v>
      </c>
      <c r="C32" s="23" t="str">
        <f>Asignación!A26</f>
        <v>SI-PY1.1</v>
      </c>
      <c r="D32" s="258" t="str">
        <f>Asignación!B26</f>
        <v>Adquisición  de equipos de laboratorio para investigación.</v>
      </c>
      <c r="E32" s="23">
        <f>Asignación!C26</f>
        <v>410</v>
      </c>
      <c r="F32" s="4" t="s">
        <v>89</v>
      </c>
      <c r="G32" s="94">
        <f>'S. INVESTIGACIÓN'!G5</f>
        <v>4</v>
      </c>
      <c r="H32" s="5" t="str">
        <f>'S. INVESTIGACIÓN'!H5</f>
        <v>EQUIPOS</v>
      </c>
      <c r="I32" s="5">
        <f>Asignación!K26</f>
        <v>150000000</v>
      </c>
      <c r="J32" s="5">
        <f>'S. INVESTIGACIÓN'!J5</f>
        <v>120000000</v>
      </c>
      <c r="K32" s="5">
        <f>I32-J32</f>
        <v>30000000</v>
      </c>
      <c r="L32" s="94">
        <f>'S. INVESTIGACIÓN'!L5</f>
        <v>0</v>
      </c>
      <c r="M32" s="94">
        <f>'S. INVESTIGACIÓN'!M5</f>
        <v>0</v>
      </c>
      <c r="N32" s="94">
        <f>'S. INVESTIGACIÓN'!N5</f>
        <v>0</v>
      </c>
      <c r="O32" s="94">
        <f>'S. INVESTIGACIÓN'!O5</f>
        <v>0</v>
      </c>
      <c r="P32" s="94">
        <f>'S. INVESTIGACIÓN'!P5</f>
        <v>1</v>
      </c>
      <c r="Q32" s="94">
        <f>'S. INVESTIGACIÓN'!Q5</f>
        <v>0.25</v>
      </c>
      <c r="R32" s="94">
        <f>'S. INVESTIGACIÓN'!R5</f>
        <v>1</v>
      </c>
      <c r="S32" s="267">
        <f t="shared" si="1"/>
        <v>0.8</v>
      </c>
      <c r="T32" s="267">
        <f>M32+O32+Q32</f>
        <v>0.25</v>
      </c>
      <c r="U32" s="267">
        <f t="shared" ref="U32:U100" si="14">(S32+T32)/2</f>
        <v>0.52500000000000002</v>
      </c>
      <c r="V32" s="22" t="str">
        <f>'S. INVESTIGACIÓN'!V5</f>
        <v>1 - Compra de HPLC, PARA EL DESARROLLO DE ACTIVIDADES DEL PROYECTO “CAFES - Coffee From Advanced Fermentation, Engineering and Sensing” firmado entre la Universidad de Manchester, Universidad de los Andes y Universidad Surcolombiana: CONTRATO VIPS 095-A2017</v>
      </c>
      <c r="W32" s="5">
        <f>'S. INVESTIGACIÓN'!W5</f>
        <v>150000000</v>
      </c>
      <c r="X32" s="5">
        <f>'S. INVESTIGACIÓN'!X5</f>
        <v>129819880</v>
      </c>
      <c r="Y32" s="5">
        <f>W32-X32</f>
        <v>20180120</v>
      </c>
      <c r="Z32" s="94">
        <f>'S. INVESTIGACIÓN'!Z5</f>
        <v>0</v>
      </c>
      <c r="AA32" s="99">
        <f>'S. INVESTIGACIÓN'!AA5</f>
        <v>0</v>
      </c>
      <c r="AB32" s="94">
        <f>'S. INVESTIGACIÓN'!AB5</f>
        <v>0</v>
      </c>
      <c r="AC32" s="99">
        <f>'S. INVESTIGACIÓN'!AC5</f>
        <v>0</v>
      </c>
      <c r="AD32" s="94">
        <f>'S. INVESTIGACIÓN'!AD5</f>
        <v>3</v>
      </c>
      <c r="AE32" s="99">
        <f>'S. INVESTIGACIÓN'!AE5</f>
        <v>0.75</v>
      </c>
      <c r="AF32" s="94">
        <f>'S. INVESTIGACIÓN'!AF5</f>
        <v>3</v>
      </c>
      <c r="AG32" s="249">
        <f t="shared" si="4"/>
        <v>0.86546586666666669</v>
      </c>
      <c r="AH32" s="249">
        <f>AA32+AC32+AE32</f>
        <v>0.75</v>
      </c>
      <c r="AI32" s="249">
        <f t="shared" si="6"/>
        <v>0.8077329333333334</v>
      </c>
      <c r="AJ32" s="22" t="str">
        <f>'S. INVESTIGACIÓN'!AJ5</f>
        <v>1 - Equipo laboratorio de biologia celular: Sistema ininterrumpido de potencia U.P.S; Marca: PEI; Referencia: 7614PEI104MONOF: CONTRATO VIPS  174-A2017
2 - REACTIVOS investigación del laboratorio de biología celular - Cámara de Electroforesis Horizontal Modelo H4 con cubetas para geles de 20x25cm, 2 gel casting dams en aluminio, peine de 20 dientes de 1mm de grosor, conectores y manual. Biometra: CONTRATO VIPS  208-A2017
3 - REACTIVOS investigación del laboratorio de biología celular - TaqMan MicroRNA Reverse Transcription Kit x200Rxns. Los componentes de este kit se utilizan con la cartilla de RT proporcionada con el ensayo de MicroRNA TaqMan para convertir miRNA a cDNA. Marca AB - LIFE TECHNOLOGIES: CONTRATO VIPS  208-A2017</v>
      </c>
      <c r="AK32" s="5">
        <f>'S. INVESTIGACIÓN'!AK5</f>
        <v>150000000</v>
      </c>
      <c r="AL32" s="5">
        <f>'S. INVESTIGACIÓN'!AL5</f>
        <v>129819880</v>
      </c>
      <c r="AM32" s="5">
        <f>'S. INVESTIGACIÓN'!AM5</f>
        <v>20180120</v>
      </c>
      <c r="AN32" s="5">
        <f>'S. INVESTIGACIÓN'!AN5</f>
        <v>0</v>
      </c>
      <c r="AO32" s="99">
        <f>'S. INVESTIGACIÓN'!AO5</f>
        <v>0</v>
      </c>
      <c r="AP32" s="94">
        <f>'S. INVESTIGACIÓN'!AP5</f>
        <v>0</v>
      </c>
      <c r="AQ32" s="99">
        <f>'S. INVESTIGACIÓN'!AQ5</f>
        <v>0</v>
      </c>
      <c r="AR32" s="94">
        <f>'S. INVESTIGACIÓN'!AR5</f>
        <v>0</v>
      </c>
      <c r="AS32" s="99">
        <f>'S. INVESTIGACIÓN'!AS5</f>
        <v>0</v>
      </c>
      <c r="AT32" s="94">
        <f>'S. INVESTIGACIÓN'!AT5</f>
        <v>0</v>
      </c>
      <c r="AU32" s="363">
        <f t="shared" ref="AU32:AU67" si="15">IFERROR((AL32/AK32),0)</f>
        <v>0.86546586666666669</v>
      </c>
      <c r="AV32" s="363">
        <f>AO32+AQ32+AS32</f>
        <v>0</v>
      </c>
      <c r="AW32" s="363">
        <f t="shared" ref="AW32:AW82" si="16">(AU32+AV32)/2</f>
        <v>0.43273293333333335</v>
      </c>
      <c r="AX32" s="22" t="str">
        <f>'S. INVESTIGACIÓN'!AX5</f>
        <v>YA SE CUMPLIÓ LA META, SE ADQUIRIERON 4 EQUIPOS</v>
      </c>
    </row>
    <row r="33" spans="1:50" ht="165" x14ac:dyDescent="0.25">
      <c r="A33" s="594"/>
      <c r="B33" s="542"/>
      <c r="C33" s="23" t="str">
        <f>Asignación!A27</f>
        <v>SI-PY1.2</v>
      </c>
      <c r="D33" s="258" t="str">
        <f>Asignación!B27</f>
        <v xml:space="preserve"> Adquisición y renovación de  licencias software Y bases de datos especializadas  para  actividades de investigaciòn.</v>
      </c>
      <c r="E33" s="23">
        <f>Asignación!C27</f>
        <v>410</v>
      </c>
      <c r="F33" s="4" t="s">
        <v>89</v>
      </c>
      <c r="G33" s="94">
        <f>'S. INVESTIGACIÓN'!G6</f>
        <v>4</v>
      </c>
      <c r="H33" s="5" t="str">
        <f>'S. INVESTIGACIÓN'!H6</f>
        <v>LICENCIAS</v>
      </c>
      <c r="I33" s="5">
        <f>Asignación!K27</f>
        <v>350000000</v>
      </c>
      <c r="J33" s="5">
        <f>'S. INVESTIGACIÓN'!J6</f>
        <v>0</v>
      </c>
      <c r="K33" s="5">
        <f t="shared" ref="K33:K68" si="17">I33-J33</f>
        <v>350000000</v>
      </c>
      <c r="L33" s="94">
        <f>'S. INVESTIGACIÓN'!L6</f>
        <v>0</v>
      </c>
      <c r="M33" s="94">
        <f>'S. INVESTIGACIÓN'!M6</f>
        <v>0</v>
      </c>
      <c r="N33" s="94">
        <f>'S. INVESTIGACIÓN'!N6</f>
        <v>0</v>
      </c>
      <c r="O33" s="94">
        <f>'S. INVESTIGACIÓN'!O6</f>
        <v>0</v>
      </c>
      <c r="P33" s="94">
        <f>'S. INVESTIGACIÓN'!P6</f>
        <v>0</v>
      </c>
      <c r="Q33" s="94">
        <f>'S. INVESTIGACIÓN'!Q6</f>
        <v>0</v>
      </c>
      <c r="R33" s="94">
        <f>'S. INVESTIGACIÓN'!R6</f>
        <v>0</v>
      </c>
      <c r="S33" s="267">
        <f t="shared" si="1"/>
        <v>0</v>
      </c>
      <c r="T33" s="267">
        <f t="shared" ref="T33:T68" si="18">M33+O33+Q33</f>
        <v>0</v>
      </c>
      <c r="U33" s="267">
        <f t="shared" si="14"/>
        <v>0</v>
      </c>
      <c r="V33" s="22" t="str">
        <f>'S. INVESTIGACIÓN'!V6</f>
        <v>NO SE HA EJECUTADO EN ESTE TRIMESTRE, PENDIENTE POR ADQUIRIR Y RENOVAR LICENCIAS</v>
      </c>
      <c r="W33" s="5">
        <f>'S. INVESTIGACIÓN'!W6</f>
        <v>350000000</v>
      </c>
      <c r="X33" s="5">
        <f>'S. INVESTIGACIÓN'!X6</f>
        <v>88429163</v>
      </c>
      <c r="Y33" s="5">
        <f t="shared" ref="Y33:Y68" si="19">W33-X33</f>
        <v>261570837</v>
      </c>
      <c r="Z33" s="94">
        <f>'S. INVESTIGACIÓN'!Z6</f>
        <v>0</v>
      </c>
      <c r="AA33" s="99">
        <f>'S. INVESTIGACIÓN'!AA6</f>
        <v>0</v>
      </c>
      <c r="AB33" s="94">
        <f>'S. INVESTIGACIÓN'!AB6</f>
        <v>7</v>
      </c>
      <c r="AC33" s="99">
        <f>'S. INVESTIGACIÓN'!AC6</f>
        <v>1.75</v>
      </c>
      <c r="AD33" s="94">
        <f>'S. INVESTIGACIÓN'!AD6</f>
        <v>0</v>
      </c>
      <c r="AE33" s="99">
        <f>'S. INVESTIGACIÓN'!AE6</f>
        <v>0</v>
      </c>
      <c r="AF33" s="94">
        <f>'S. INVESTIGACIÓN'!AF6</f>
        <v>7</v>
      </c>
      <c r="AG33" s="249">
        <f t="shared" si="4"/>
        <v>0.25265475142857141</v>
      </c>
      <c r="AH33" s="249">
        <f t="shared" ref="AH33:AH68" si="20">AA33+AC33+AE33</f>
        <v>1.75</v>
      </c>
      <c r="AI33" s="249">
        <f t="shared" si="6"/>
        <v>1.0013273757142858</v>
      </c>
      <c r="AJ33" s="22" t="str">
        <f>'S. INVESTIGACIÓN'!AJ6</f>
        <v xml:space="preserve"> Adquisición y renovación de  licencias software Y bases de datos especializadas  para  actividades de investigaciòn.:
Acceso y uso a las bases de datos: 
1 - Science Direct - ORDEN ADMINISTRATIVA No. 054
2 - eBooks Legacy - ORDEN ADMINISTRATIVA No. 054
3 - Compendex - ORDEN ADMINISTRATIVA No. 054
4 - Scopus - ORDEN ADMINISTRATIVA No. 054
5 - Reaxys - ORDEN ADMINISTRATIVA No. 054
6 - Embase - ORDEN ADMINISTRATIVA No. 054
7 - Clinics de la casa editorial holandesa Elsevier B.V. - ORDEN ADMINISTRATIVA No. 054</v>
      </c>
      <c r="AK33" s="5">
        <f>'S. INVESTIGACIÓN'!AK6</f>
        <v>350000000</v>
      </c>
      <c r="AL33" s="5">
        <f>'S. INVESTIGACIÓN'!AL6</f>
        <v>350000000</v>
      </c>
      <c r="AM33" s="5">
        <f>'S. INVESTIGACIÓN'!AM6</f>
        <v>0</v>
      </c>
      <c r="AN33" s="5">
        <f>'S. INVESTIGACIÓN'!AN6</f>
        <v>0</v>
      </c>
      <c r="AO33" s="99">
        <f>'S. INVESTIGACIÓN'!AO6</f>
        <v>0</v>
      </c>
      <c r="AP33" s="94">
        <f>'S. INVESTIGACIÓN'!AP6</f>
        <v>0</v>
      </c>
      <c r="AQ33" s="99">
        <f>'S. INVESTIGACIÓN'!AQ6</f>
        <v>0</v>
      </c>
      <c r="AR33" s="94">
        <f>'S. INVESTIGACIÓN'!AR6</f>
        <v>0</v>
      </c>
      <c r="AS33" s="99">
        <f>'S. INVESTIGACIÓN'!AS6</f>
        <v>0</v>
      </c>
      <c r="AT33" s="94">
        <f>'S. INVESTIGACIÓN'!AT6</f>
        <v>0</v>
      </c>
      <c r="AU33" s="363">
        <f t="shared" si="15"/>
        <v>1</v>
      </c>
      <c r="AV33" s="363">
        <f t="shared" ref="AV33:AV68" si="21">AO33+AQ33+AS33</f>
        <v>0</v>
      </c>
      <c r="AW33" s="363">
        <f t="shared" si="16"/>
        <v>0.5</v>
      </c>
      <c r="AX33" s="22" t="str">
        <f>'S. INVESTIGACIÓN'!AX6</f>
        <v>YA SE CUMPLIÓ LA META, SE ADQUIRIERON Y RENOVARON 7 LICENCIAS SOFTWARE Y BASES DE DATOS ESPECIALIZADAS  PARA  ACTIVIDADES DE INVESTIGACIÒN, QUEDA PENDIENTE PAGO ELSEVIER</v>
      </c>
    </row>
    <row r="34" spans="1:50" ht="409.5" x14ac:dyDescent="0.25">
      <c r="A34" s="594"/>
      <c r="B34" s="542"/>
      <c r="C34" s="23" t="str">
        <f>Asignación!A28</f>
        <v>SI-PY1.3</v>
      </c>
      <c r="D34" s="258" t="str">
        <f>Asignación!B28</f>
        <v>Apoyo a la formación de alto nivel (Maestrias, doctorados, posdoctorados).</v>
      </c>
      <c r="E34" s="23">
        <f>Asignación!C28</f>
        <v>410</v>
      </c>
      <c r="F34" s="24" t="s">
        <v>96</v>
      </c>
      <c r="G34" s="94">
        <f>'S. INVESTIGACIÓN'!G7</f>
        <v>4</v>
      </c>
      <c r="H34" s="5" t="str">
        <f>'S. INVESTIGACIÓN'!H7</f>
        <v>TESIS O NUMERO DE DOCENTES APOYADOS</v>
      </c>
      <c r="I34" s="5">
        <f>Asignación!K28</f>
        <v>1418000000</v>
      </c>
      <c r="J34" s="5">
        <f>'S. INVESTIGACIÓN'!J7</f>
        <v>305685305</v>
      </c>
      <c r="K34" s="5">
        <f t="shared" si="17"/>
        <v>1112314695</v>
      </c>
      <c r="L34" s="94">
        <f>'S. INVESTIGACIÓN'!L7</f>
        <v>10</v>
      </c>
      <c r="M34" s="94">
        <f>'S. INVESTIGACIÓN'!M7</f>
        <v>2.5</v>
      </c>
      <c r="N34" s="94">
        <f>'S. INVESTIGACIÓN'!N7</f>
        <v>7</v>
      </c>
      <c r="O34" s="94">
        <f>'S. INVESTIGACIÓN'!O7</f>
        <v>1.75</v>
      </c>
      <c r="P34" s="94">
        <f>'S. INVESTIGACIÓN'!P7</f>
        <v>1</v>
      </c>
      <c r="Q34" s="94">
        <f>'S. INVESTIGACIÓN'!Q7</f>
        <v>0.25</v>
      </c>
      <c r="R34" s="94">
        <f>'S. INVESTIGACIÓN'!R7</f>
        <v>18</v>
      </c>
      <c r="S34" s="267">
        <f t="shared" si="1"/>
        <v>0.2155749682651622</v>
      </c>
      <c r="T34" s="267">
        <f t="shared" si="18"/>
        <v>4.5</v>
      </c>
      <c r="U34" s="267">
        <f t="shared" si="14"/>
        <v>2.3577874841325812</v>
      </c>
      <c r="V34" s="22" t="str">
        <f>'S. INVESTIGACIÓN'!V7</f>
        <v>Se apoyó a 18 docentes para la formación de alto nivel (Maestrias, doctorados, posdoctorados):
1 - ELIAS FRANCISCO AMORTEGUI CEDEÑO - Doctorado en Didáctica Especificas en la Universidad de Valencia – España, ORDEN ADMINISTRATIVA 003.
2 - ZULLY CUELLAR LOPEZ - Doctorado en en educación en la Universidad Autónoma de Madrid – España, ORDEN ADMINISTRATIVA 004
3 - FREDY ALBERTO MIER LOGATO - Doctorado en Lingüística en la Universidad de Antioquia, ORDEN ADMINISTRATIVA 005
4 - LADYS JIMENEZ TORRES - Doctorado en Literatura en la Universidad de Antioquia, ORDEN ADMINISTRATIVA 006
5 - FERNANDO GALINDO PERDOMO - Doctorado en Actividad Física y Deporte en la Universidad de Valencia, ORDEN ADMINISTRATIVA 011
6 - LISSETH SUGEY ROJAS BARRETO - Doctorado en Educación con la Universidad Autónoma de Madrid, ORDEN ADMINISTRATIVA 012
7 - CRISTIAN ARNOLDO RAMIREZ CASTRILLON - Doctorado en Estudios Territoriales en la Universidad de Caldas, ORDEN ADMINISTRATIVA 010
8 - CLAUDIA ANDREA RAMIREZ PERDOMO - Doctorado en Enfermeria en la Universidad de Antioquia, ORDEN ADMINISTRATIVA 008
9 - MAURICIO PENAGOS - Doctorado en Educación en Matemáticas en la Universidad Antonio Nariño, ORDEN ADMINISTRATIVA 009
10 - JENNY LISSETH AVENDAÑO LOPEZ - Doctorado en Ciencias Sociales Niñez y Juventud en la Universidad de Manizales en la alianza CINDE, ORDEN ADMINISTRATIVA 014
11 - LUIS ALFREDO MUÑOZ VELASCO - Doctorado en Desarrollo Sostenible en la Universidad de Manizales, ORDEN ADMINISTRATIVA 018
12 - JOSE JARDANI GIRALDO URIBE - Doctorado en Desarrollo Sostenible en la Universidad de Manizales, ORDEN ADMINISTRATIVA 019
13 - NERCY GUTIERREZ CARDOSO - Doctorado en Ciencia de la Educación, ORDEN ADMINISTRATIVA 020
14 - FRANCISCO JOSE MUÑOZ ORDOÑEZ - Doctorado en Agroindustria y Desarrollo Agrícola Sostenible, ORDEN ADMINISTRATIVA 022
15 - MIRYAM CRISTINA FERNANDEZ CEDIEL - Doctorado en Psicología en VRIJE UNIVERSITEIT BRUSSEL, AVANCE 011
16 - GERMAN DARIO HEMBUZ - Doctorado en Ciencias Sociales Niñez y Juventud que curso en la Universidad de Manizales con el Convenio CINDE, ORDEN ADMINISTRATIVA 023
17 - JOSE LEONARDO RUIZ MENDEZ - Doctorado en Educación y Cultura Ambiental en la Universidad Surcolombiana, ORDEN ADMINISTRATIVA 024
18 - RUBEN DARÍO VALBUENA - Doctorado en Agroindustria y Desarrollo Agricola Sostenible en la Universidad Surcolombiana, ORDEN ADMINISTRATIVA 026</v>
      </c>
      <c r="W34" s="5">
        <f>'S. INVESTIGACIÓN'!W7</f>
        <v>1418000000</v>
      </c>
      <c r="X34" s="5">
        <f>'S. INVESTIGACIÓN'!X7</f>
        <v>581283533</v>
      </c>
      <c r="Y34" s="5">
        <f t="shared" si="19"/>
        <v>836716467</v>
      </c>
      <c r="Z34" s="94">
        <f>'S. INVESTIGACIÓN'!Z7</f>
        <v>1</v>
      </c>
      <c r="AA34" s="99">
        <f>'S. INVESTIGACIÓN'!AA7</f>
        <v>0.25</v>
      </c>
      <c r="AB34" s="94">
        <f>'S. INVESTIGACIÓN'!AB7</f>
        <v>0</v>
      </c>
      <c r="AC34" s="99">
        <f>'S. INVESTIGACIÓN'!AC7</f>
        <v>0</v>
      </c>
      <c r="AD34" s="94">
        <f>'S. INVESTIGACIÓN'!AD7</f>
        <v>0</v>
      </c>
      <c r="AE34" s="99">
        <f>'S. INVESTIGACIÓN'!AE7</f>
        <v>0</v>
      </c>
      <c r="AF34" s="94">
        <f>'S. INVESTIGACIÓN'!AF7</f>
        <v>1</v>
      </c>
      <c r="AG34" s="249">
        <f t="shared" si="4"/>
        <v>0.40993196967559942</v>
      </c>
      <c r="AH34" s="249">
        <f t="shared" si="20"/>
        <v>0.25</v>
      </c>
      <c r="AI34" s="249">
        <f t="shared" si="6"/>
        <v>0.32996598483779971</v>
      </c>
      <c r="AJ34" s="22" t="str">
        <f>'S. INVESTIGACIÓN'!AJ7</f>
        <v>Se apoyó a 1 docentes para la formación de alto nivel (Maestrias, doctorados, posdoctorados):
1 - LEIDY CAROLINA CUERVO - Doctorado en Investigación y Docencia en la UNIVERSIDAD AMERICANA DE EUROPA AC, ORDEN ADMINISTRATIVA No. 037</v>
      </c>
      <c r="AK34" s="5">
        <f>'S. INVESTIGACIÓN'!AK7</f>
        <v>1418000000</v>
      </c>
      <c r="AL34" s="5">
        <f>'S. INVESTIGACIÓN'!AL7</f>
        <v>1278654185</v>
      </c>
      <c r="AM34" s="5">
        <f>'S. INVESTIGACIÓN'!AM7</f>
        <v>139345815</v>
      </c>
      <c r="AN34" s="5">
        <f>'S. INVESTIGACIÓN'!AN7</f>
        <v>3</v>
      </c>
      <c r="AO34" s="99">
        <f>'S. INVESTIGACIÓN'!AO7</f>
        <v>0.75</v>
      </c>
      <c r="AP34" s="94">
        <f>'S. INVESTIGACIÓN'!AP7</f>
        <v>4</v>
      </c>
      <c r="AQ34" s="99">
        <f>'S. INVESTIGACIÓN'!AQ7</f>
        <v>1</v>
      </c>
      <c r="AR34" s="94">
        <f>'S. INVESTIGACIÓN'!AR7</f>
        <v>0</v>
      </c>
      <c r="AS34" s="99">
        <f>'S. INVESTIGACIÓN'!AS7</f>
        <v>0</v>
      </c>
      <c r="AT34" s="94">
        <f>'S. INVESTIGACIÓN'!AT7</f>
        <v>7</v>
      </c>
      <c r="AU34" s="363">
        <f t="shared" si="15"/>
        <v>0.90173073695345562</v>
      </c>
      <c r="AV34" s="363">
        <f t="shared" si="21"/>
        <v>1.75</v>
      </c>
      <c r="AW34" s="363">
        <f t="shared" si="16"/>
        <v>1.3258653684767279</v>
      </c>
      <c r="AX34" s="22" t="str">
        <f>'S. INVESTIGACIÓN'!AX7</f>
        <v>Se apoyó a 7 docentes para la formación de alto nivel (Maestrias, doctorados, posdoctorados):
1 - YINETH MEDINA ARCE - Doctorado en Pensamiento Complejo en la Universidad MULTIVERSIDAD MUNDO REAL EDGAR MORIN, ORDEN ADMINISTRATIVA No. 060
2 - JASMIDT VERA CUENCA - Doctorado en Pensamiento Complejo en la Universidad MULTIVERSIDAD MUNDO REAL EDGAR MORIN, ORDEN ADMINISTRATIVA No. 059
3 - JULIO ROBERTO JAIME SALAS - Doctorado en Ciencias Sociales Niñez y Juventud en la Universidad FUNDACIÓN CENTRO INTERNACIONAL DE EDUCACIÓN Y DESARROLLO HUMANO-CINDE, ORDEN ADMINISTRATIVA No. 061
4 - SONIA AMPARO SALAZAR - Doctorado en Educación en la UNVIERSIDAD DE DEUSTO DEUSTUKO UNIBERTSITATEA, ORDEN ADMINISTRATIVA No. 067
5 - ALBERTO DUCUARA MANRIQUE - Doctorado en Agroindustria y Desarrollo Agrícola Sostenible en la UNIVERSIDAD SURCOLOMBIANA, ORDEN ADMINISTRATIVA No. 083
6 - ALEXANDER QUINTERO BONILLA - Doctorado en Administración en la UNIVERSIDAD EAFIT, ORDEN ADMINISTRATIVA No. 084
7 - PATRICIA GUTIERREZ PRADA - Doctorado de Modelado en Política y Gestión Pública en la Universidad FUNDACIÓN UNIVERSIDAD DE BOGOTÁ JORGE TADEO LOZANO, ORDEN ADMINISTRATIVA No. 090</v>
      </c>
    </row>
    <row r="35" spans="1:50" ht="180" x14ac:dyDescent="0.25">
      <c r="A35" s="594"/>
      <c r="B35" s="542"/>
      <c r="C35" s="23" t="str">
        <f>Asignación!A29</f>
        <v>SI-PY1.4</v>
      </c>
      <c r="D35" s="258" t="str">
        <f>Asignación!B29</f>
        <v>Fortalecimiento de las capacidades investigativas para la acreditación Institucional</v>
      </c>
      <c r="E35" s="23">
        <f>Asignación!C29</f>
        <v>410</v>
      </c>
      <c r="F35" s="4" t="s">
        <v>89</v>
      </c>
      <c r="G35" s="94">
        <f>'S. INVESTIGACIÓN'!G8</f>
        <v>1</v>
      </c>
      <c r="H35" s="5" t="str">
        <f>'S. INVESTIGACIÓN'!H8</f>
        <v>PROGRAMA DE PEDAGOGÍA PARA LA INVESTIGACIÓN</v>
      </c>
      <c r="I35" s="5">
        <f>Asignación!K29</f>
        <v>15000000</v>
      </c>
      <c r="J35" s="5">
        <f>'S. INVESTIGACIÓN'!J8</f>
        <v>0</v>
      </c>
      <c r="K35" s="5">
        <f t="shared" si="17"/>
        <v>15000000</v>
      </c>
      <c r="L35" s="94">
        <f>'S. INVESTIGACIÓN'!L8</f>
        <v>0</v>
      </c>
      <c r="M35" s="94">
        <f>'S. INVESTIGACIÓN'!M8</f>
        <v>0</v>
      </c>
      <c r="N35" s="94">
        <f>'S. INVESTIGACIÓN'!N8</f>
        <v>0</v>
      </c>
      <c r="O35" s="94">
        <f>'S. INVESTIGACIÓN'!O8</f>
        <v>0</v>
      </c>
      <c r="P35" s="94">
        <f>'S. INVESTIGACIÓN'!P8</f>
        <v>0</v>
      </c>
      <c r="Q35" s="94">
        <f>'S. INVESTIGACIÓN'!Q8</f>
        <v>0</v>
      </c>
      <c r="R35" s="94">
        <f>'S. INVESTIGACIÓN'!R8</f>
        <v>0</v>
      </c>
      <c r="S35" s="267">
        <f t="shared" si="1"/>
        <v>0</v>
      </c>
      <c r="T35" s="267">
        <f t="shared" si="18"/>
        <v>0</v>
      </c>
      <c r="U35" s="267">
        <f t="shared" si="14"/>
        <v>0</v>
      </c>
      <c r="V35" s="22" t="str">
        <f>'S. INVESTIGACIÓN'!V8</f>
        <v>NO SE HA EJECUTADO EN ESTE TRIMESTRE</v>
      </c>
      <c r="W35" s="5">
        <f>'S. INVESTIGACIÓN'!W8</f>
        <v>15000000</v>
      </c>
      <c r="X35" s="5">
        <f>'S. INVESTIGACIÓN'!X8</f>
        <v>5915700</v>
      </c>
      <c r="Y35" s="5">
        <f t="shared" si="19"/>
        <v>9084300</v>
      </c>
      <c r="Z35" s="94">
        <f>'S. INVESTIGACIÓN'!Z8</f>
        <v>0</v>
      </c>
      <c r="AA35" s="99">
        <f>'S. INVESTIGACIÓN'!AA8</f>
        <v>0</v>
      </c>
      <c r="AB35" s="94">
        <f>'S. INVESTIGACIÓN'!AB8</f>
        <v>1</v>
      </c>
      <c r="AC35" s="99">
        <f>'S. INVESTIGACIÓN'!AC8</f>
        <v>1</v>
      </c>
      <c r="AD35" s="94">
        <f>'S. INVESTIGACIÓN'!AD8</f>
        <v>0</v>
      </c>
      <c r="AE35" s="99">
        <f>'S. INVESTIGACIÓN'!AE8</f>
        <v>0</v>
      </c>
      <c r="AF35" s="94">
        <f>'S. INVESTIGACIÓN'!AF8</f>
        <v>1</v>
      </c>
      <c r="AG35" s="249">
        <f t="shared" si="4"/>
        <v>0.39438000000000001</v>
      </c>
      <c r="AH35" s="249">
        <f t="shared" si="20"/>
        <v>1</v>
      </c>
      <c r="AI35" s="249">
        <f t="shared" si="6"/>
        <v>0.69718999999999998</v>
      </c>
      <c r="AJ35" s="22" t="str">
        <f>'S. INVESTIGACIÓN'!AJ8</f>
        <v>Se apoyó al Fortalecimiento de las capacidades investigativas para la acreditación Institucional a través de la estructuración del plan de mejoramiento y la divulgación de la información sistematizada de productos resultado de investigación en los últimos 5 años: (Página WEB y (2) dos videos) 100%
- Elaboración de los avisos con los nombres de las siete (7) facultades de la Universidad Surcolombiana, CONTRATO VIPS 133-A2017
- Elaboración de dos videos informe videos sobre los alcances de la Universidad Surcolombiana en las áreas de visibilidad nacional e internacional, investigación y creación artística y pertinencia e impacto social.</v>
      </c>
      <c r="AK35" s="5">
        <f>'S. INVESTIGACIÓN'!AK8</f>
        <v>15000000</v>
      </c>
      <c r="AL35" s="5">
        <f>'S. INVESTIGACIÓN'!AL8</f>
        <v>15000000</v>
      </c>
      <c r="AM35" s="5">
        <f>'S. INVESTIGACIÓN'!AM8</f>
        <v>0</v>
      </c>
      <c r="AN35" s="5">
        <f>'S. INVESTIGACIÓN'!AN8</f>
        <v>0</v>
      </c>
      <c r="AO35" s="99">
        <f>'S. INVESTIGACIÓN'!AO8</f>
        <v>0</v>
      </c>
      <c r="AP35" s="94">
        <f>'S. INVESTIGACIÓN'!AP8</f>
        <v>0</v>
      </c>
      <c r="AQ35" s="99">
        <f>'S. INVESTIGACIÓN'!AQ8</f>
        <v>0</v>
      </c>
      <c r="AR35" s="94">
        <f>'S. INVESTIGACIÓN'!AR8</f>
        <v>0</v>
      </c>
      <c r="AS35" s="99">
        <f>'S. INVESTIGACIÓN'!AS8</f>
        <v>0</v>
      </c>
      <c r="AT35" s="94">
        <f>'S. INVESTIGACIÓN'!AT8</f>
        <v>0</v>
      </c>
      <c r="AU35" s="363">
        <f t="shared" si="15"/>
        <v>1</v>
      </c>
      <c r="AV35" s="363">
        <f t="shared" si="21"/>
        <v>0</v>
      </c>
      <c r="AW35" s="363">
        <f t="shared" si="16"/>
        <v>0.5</v>
      </c>
      <c r="AX35" s="22" t="str">
        <f>'S. INVESTIGACIÓN'!AX8</f>
        <v>YA SE CUMPLIÓ LA META, YA SE HIZO PROGRAMA DE PEDAGOGÍA PARA LA INVESTIGACIÓN</v>
      </c>
    </row>
    <row r="36" spans="1:50" ht="409.5" x14ac:dyDescent="0.25">
      <c r="A36" s="594"/>
      <c r="B36" s="543"/>
      <c r="C36" s="23" t="str">
        <f>Asignación!A30</f>
        <v>SI-PY1.5</v>
      </c>
      <c r="D36" s="258" t="str">
        <f>Asignación!B30</f>
        <v>Fortalecimiento  de las capacidades investigativas de grupos de investigación en modalidad Proyectos.</v>
      </c>
      <c r="E36" s="23">
        <f>Asignación!C30</f>
        <v>410</v>
      </c>
      <c r="F36" s="4" t="s">
        <v>89</v>
      </c>
      <c r="G36" s="94">
        <f>'S. INVESTIGACIÓN'!G9</f>
        <v>20</v>
      </c>
      <c r="H36" s="5" t="str">
        <f>'S. INVESTIGACIÓN'!H9</f>
        <v>EJECUCIÓN DE 20 PROYECTOS DE INVESTIGACIÓN</v>
      </c>
      <c r="I36" s="5">
        <f>Asignación!K30</f>
        <v>440305826</v>
      </c>
      <c r="J36" s="5">
        <f>'S. INVESTIGACIÓN'!J9</f>
        <v>60999794</v>
      </c>
      <c r="K36" s="5">
        <f t="shared" si="17"/>
        <v>379306032</v>
      </c>
      <c r="L36" s="94">
        <f>'S. INVESTIGACIÓN'!L9</f>
        <v>0</v>
      </c>
      <c r="M36" s="94">
        <f>'S. INVESTIGACIÓN'!M9</f>
        <v>0</v>
      </c>
      <c r="N36" s="94">
        <f>'S. INVESTIGACIÓN'!N9</f>
        <v>3</v>
      </c>
      <c r="O36" s="94">
        <f>'S. INVESTIGACIÓN'!O9</f>
        <v>0.15</v>
      </c>
      <c r="P36" s="94">
        <f>'S. INVESTIGACIÓN'!P9</f>
        <v>5</v>
      </c>
      <c r="Q36" s="94">
        <f>'S. INVESTIGACIÓN'!Q9</f>
        <v>0.25</v>
      </c>
      <c r="R36" s="94">
        <f>'S. INVESTIGACIÓN'!R9</f>
        <v>8</v>
      </c>
      <c r="S36" s="267">
        <f t="shared" si="1"/>
        <v>0.13853960224455444</v>
      </c>
      <c r="T36" s="267">
        <f t="shared" si="18"/>
        <v>0.4</v>
      </c>
      <c r="U36" s="267">
        <f t="shared" si="14"/>
        <v>0.26926980112227722</v>
      </c>
      <c r="V36" s="22" t="str">
        <f>'S. INVESTIGACIÓN'!V9</f>
        <v>Para el primer trimestre se apoyó para le ejecución de 8 proyectos relacionados así (MEDIANTE ACTA No. 2 DE ENERO 26 DE 2017) - SI-PY1.5 Y SI-PY4.1 SON ACCIONES QUE VAN UNIDAS:
1 - CONSTRUCCIÓN DE PRÁCTICAS PEDAGÓGICAS ALTERNATIVAS PARA LA FORMACIÓN DE MAESTROS PARA LA PAZ, LA EQUIDAD Y LA RECONCILIACIÓN: CONTRATO VIPS 052-A2017 
2 - LOS SISTEMAS DINÁMICOS DEL CAMBIO CLIMÁTICO Y LAS AFECTACIONES SOBRE LOS SISTEMAS ECOLÓGICOS LOCALES: CONTRATO VIPS 058-A2017, AVANCE 162
3 - CONOCIMIENTOS Y PRÁCTICAS QUE REALIZAN LOS PACIENTES DIABÉTICOS PARA LA PREVENCIÓN DEL PIE DIABÉTICO EN LA EMPRESA SOCIAL DEL ESTADO (ESE) CARMEN EMILIA OSPINA: CONTRATO VIPS 298-B2017, AVANCE 020, AVANCE 079
4 - ACTITUD, CONOCIMIENTO Y USO DE LAS TECNOLOGÍAS DE LA INFORMACIÓN Y LA COMUNICACIÓN (TIC) PARA LA ENSEÑANZA DE LAS CIENCIAS NATURALES EN LAS INSTITUCIONES EDUCATIVAS PÚBLICAS DEL MUNICIPIO DE NEIVA. UN ESTUDIO DIAGNÓSTICO: CONTRATO VIPS 128-A2017, AVANCE 048, CONTRATO VIPS 171-A2017, AVANCE 118
5 - COMPETENCIAS GERENCIALES DE LOS LÍDERES ORGANIZACIONALES DEL SECTOR PRODUCTIVO DE LAS PASIFLORAS EN EL DEPARTAMENTO DEL HUILA: AVANCE 026, VIPS 293-B2017
6 - LA CONCILIACIÓN PROCESAL OBLIGATORIA COMO MECANISMO DE DESCONGESTIÓN JUDICIAL EN LA JURISDICCIÓN CONTENCIOSA ADMINISTRATIVA DE ANTIOQUIA, BOLÍVAR, CUNDINAMARCA Y VALLE DEL CAUCA: CONTRATO VIPS 069-A2017, CONTRATO VIPS 287-B2017
7 - IDENTIFICACIÓN DE ESPECIES ICTICAS EN EL ÁREA DE INFLUENCIA DE LA HIDROELÉCTRICA DEL QUIMBO: CONTRATO VIPS 083-A2017, AVANCE 083, CONTRATO VIPS 213-A2017, AVANCE 202, CONTRATO VIPS 213-A2017
8 - CARACTERIZACIÓN DE LAS ACCIONES CONSTITUCIONALES DERIVADAS DE LA CONSTRUCCIÓN DE LA HIDROELÉCTRICA “EL QUIMBO”: AVANCE 014, CONTRATO VIPS 082-A2017, AVANCE 029, AVANCE 129</v>
      </c>
      <c r="W36" s="5">
        <f>'S. INVESTIGACIÓN'!W9</f>
        <v>440305826</v>
      </c>
      <c r="X36" s="5">
        <f>'S. INVESTIGACIÓN'!X9</f>
        <v>154787202</v>
      </c>
      <c r="Y36" s="5">
        <f t="shared" si="19"/>
        <v>285518624</v>
      </c>
      <c r="Z36" s="94">
        <f>'S. INVESTIGACIÓN'!Z9</f>
        <v>3</v>
      </c>
      <c r="AA36" s="99">
        <f>'S. INVESTIGACIÓN'!AA9</f>
        <v>0.15</v>
      </c>
      <c r="AB36" s="94">
        <f>'S. INVESTIGACIÓN'!AB9</f>
        <v>1</v>
      </c>
      <c r="AC36" s="99">
        <f>'S. INVESTIGACIÓN'!AC9</f>
        <v>0.05</v>
      </c>
      <c r="AD36" s="94">
        <f>'S. INVESTIGACIÓN'!AD9</f>
        <v>2</v>
      </c>
      <c r="AE36" s="99">
        <f>'S. INVESTIGACIÓN'!AE9</f>
        <v>0.1</v>
      </c>
      <c r="AF36" s="94">
        <f>'S. INVESTIGACIÓN'!AF9</f>
        <v>6</v>
      </c>
      <c r="AG36" s="249">
        <f t="shared" si="4"/>
        <v>0.35154475107944633</v>
      </c>
      <c r="AH36" s="249">
        <f t="shared" si="20"/>
        <v>0.30000000000000004</v>
      </c>
      <c r="AI36" s="249">
        <f t="shared" si="6"/>
        <v>0.32577237553972316</v>
      </c>
      <c r="AJ36" s="22" t="str">
        <f>'S. INVESTIGACIÓN'!AJ9</f>
        <v xml:space="preserve">Para el segundo trimestre se apoyó para le ejecución de 6 proyectos relacionados así (MEDIANTE ACTA No. 2 DE ENERO 26 DE 2017) - SI-PY1.5 Y SI-PY4.1 SON ACCIONES QUE VAN UNIDAS:
1 - RECONFIGURACIÓN DEL TERRITORIO. DISCURSOS SOBRE TERRITORIO, DEMOCRACIA, DESARROLLO Y POLÍTICA EN EL DEPARTAMENTO DEL HUILA: VIPS 100-A2017, VIPS 099-A2017, RESOLUCION No. 037
2 - ESTUDIO DE LA RADIACIÓN ELECTROMAGNÉTICA INCIDENTE SOBRE SISTEMAS PERIÓDICOS DE GEOMETRÍA PLANAS Y ESFÉRICA, CON MATERIALES DE DIFERENTES PROPIEDADES ELECTROMAGNÉTICAS: VIPS 127-A2017
3 - ANÁLISIS DEL PROCESO EVALUATIVO DEL APRENDIZAJE DEL INGLÉS EN UN PROGRAMA DE LICENCIATURA EN LENGUA EXTRANJERA DE UNA UNIVERSIDAD PÚBLICA EN COLOMBIA: CONTRATO VIPS  175-A2017
4 - EL PAPEL DE LA IGLESIA EN LOS PROCESOS DE PAZ Y RECONCILIACIÓN EN AMÉRICA LATINA – UNA MIRADA HISTÓRICA: AVANCE 073, AVANCE 109
5 - EL TRABAJO COLABORATIVO: UNA HERRAMIENTA PARA LA TRANSFORMACIÓN DE LAS PRÁCTICAS PEDAGÓGICAS: CONTRATO VIPS 098-A2017
6 - EFECTOS DE DOS MÉTODOS DE RETROALIMENTACIÓN CORRECTIVA EN LA ESCRITURA EN INGLÉS COMO LENGUA EXTRANJERA (ILE): EL DESARROLLO DE LA PRECISIÓN GRAMATICAL Y LEXICAL.: CONTRATO CONTRATO VIPS 210-A2017
</v>
      </c>
      <c r="AK36" s="5">
        <f>'S. INVESTIGACIÓN'!AK9</f>
        <v>440305826</v>
      </c>
      <c r="AL36" s="5">
        <f>'S. INVESTIGACIÓN'!AL9</f>
        <v>260031816</v>
      </c>
      <c r="AM36" s="5">
        <f>'S. INVESTIGACIÓN'!AM9</f>
        <v>180274010</v>
      </c>
      <c r="AN36" s="5">
        <f>'S. INVESTIGACIÓN'!AN9</f>
        <v>3</v>
      </c>
      <c r="AO36" s="99">
        <f>'S. INVESTIGACIÓN'!AO9</f>
        <v>0.15</v>
      </c>
      <c r="AP36" s="94">
        <f>'S. INVESTIGACIÓN'!AP9</f>
        <v>3</v>
      </c>
      <c r="AQ36" s="99">
        <f>'S. INVESTIGACIÓN'!AQ9</f>
        <v>0.15</v>
      </c>
      <c r="AR36" s="94">
        <f>'S. INVESTIGACIÓN'!AR9</f>
        <v>5</v>
      </c>
      <c r="AS36" s="99">
        <f>'S. INVESTIGACIÓN'!AS9</f>
        <v>0.25</v>
      </c>
      <c r="AT36" s="94">
        <f>'S. INVESTIGACIÓN'!AT9</f>
        <v>11</v>
      </c>
      <c r="AU36" s="363">
        <f t="shared" si="15"/>
        <v>0.59057091831439901</v>
      </c>
      <c r="AV36" s="363">
        <f t="shared" si="21"/>
        <v>0.55000000000000004</v>
      </c>
      <c r="AW36" s="363">
        <f t="shared" si="16"/>
        <v>0.57028545915719953</v>
      </c>
      <c r="AX36" s="22" t="str">
        <f>'S. INVESTIGACIÓN'!AX9</f>
        <v>Para el segundo trimestre se apoyó para le ejecución de 11 proyectos relacionados así (MEDIANTE ACTA No. 2 DE ENERO 26 DE 2017) - SI-PY1.5 Y SI-PY4.1 SON ACCIONES QUE VAN UNIDAS:
1 - NIVELES DE INTERFERÓN GAMMA Y CITOCINAS PRO-INFLAMATORIAS EN LAVADO BRONCO-ALVEOLAR DE PACIENTES ADULTOS CON SOSPECHA DE TUBERCULOSIS: CONTRATO VIPS 309-B2017, CONTRATO VIPS 288-B2017, CONTRATO VIPS 314-B2017
2 - CORRELATOS NEUROFISIOLÓGICOS (ELECTROENCEFALOGRAFÍA) DEL PROCESAMIENTO EMOCIONAL DE LOS PERFILES CLÍNICOS EN NIÑOS: RESOLUCIÓN No. 069, CONTRATO VIPS 290-B2017
3 - ANÁLISIS DE ESTABILIDAD EN EL MODELO PARA EL VIH EN EL MUNICIPIO DE NEIVA: CONTRATO VIPS 302-B2017, ORDEN ADMINISTRATIVA No. 089
4 - INFLUENCIAS EN LA PRODUCCIÓN DE CONTENIDOS DE LAS EMISORAS UNIVERSITARIAS DE INTERÉS PÚBLICO DE LA REGIÓN SUR DE COLOMBIA: CONTRATO VIPS 232 -B2017, CONTRATO VIPS 231 -B2017, AVANCE 131, AVANCE 167, AVANCE 168, AVANCE 182, AVANCE 241, AVANCE 242
5 - MARCADORES BIOLÓGICOS NEUROCOGNITIVOS DE NIÑOS Y NIÑAS DE 7 A 9 AÑOS VÍCTIMAS DE ACOSO ESCOLAR (2016 20%): AVANCE 126
6 - ESTUDIO DE CARACTERIZACIÓN DE LA POBLACIÓN DEDICADA AL SERVICIO DE TRANSPORTE URBANO EN MOTO Y FORMULACIÓN DE POLÍTICAS PÚBLICAS ALTERNATIVAS PARA LA CIUDAD DE NEIVA (H): CONTRATO VIPS 255-B2017, AVANCE 135, AVANCE 144, CONTRATO VIPS 261-B2017
7 - DESARROLLO DE UN NUEVO PRODUCTO A BASE DE FILETE DE TILAPIA (OREOCHROMIS SP.) MEDIANTE LA APLICACIÓN DE MÉTODOS DE SALADO: CONTRATO VIPS 303-B2017
8 - RECONSTRUCCIÓN DE LOS ITINERARIOS TERAPÉUTICOS DE LAS MUJERES CON CÁNCER DE MAMA PARA LA RECONSTRUCCIÓN DE LOS SENOS EN LA CIUDAD DE NEIVA (HUILA): AVANCE 234
9 - ESTUDIO DE LA FRICCIÓN EN MECÁNICA CUÁNTICA: CONTRATO VIPS 311-B2017
10 - CALIDAD DE VIDA Y ASPECTOS PSICOSOCIALES EN UNA MUESTRA DE PACIENTES DIAGNOSTICADOS CON SÍNDROME DE FIBROMIALGIA EN LAS CIUDADES DE NEIVA Y TUNJA.: AVANCE 197, AVANCE 249, CONTRATO VIPS 301-B2017, CONTRATO VIPS 299-B2017
11 - DISEÑO E IMPLEMENTACIÓN DE SISTEMA DE GUÍA INERCIAL PARA EL CONTROL DE VUELO AUTÓNOMO DE UN HELICÓPTERO AEROMODELO: AVANCE 175, CONTRATO VIPS 304-B2017AVANCE 209, AVANCE 223</v>
      </c>
    </row>
    <row r="37" spans="1:50" ht="36" customHeight="1" x14ac:dyDescent="0.25">
      <c r="A37" s="594"/>
      <c r="B37" s="610" t="s">
        <v>104</v>
      </c>
      <c r="C37" s="26" t="str">
        <f>Asignación!A31</f>
        <v>SI-PY2.1</v>
      </c>
      <c r="D37" s="258" t="str">
        <f>Asignación!B31</f>
        <v>Formulación y ejecución de dos talleres para reformular dos currículos.</v>
      </c>
      <c r="E37" s="26">
        <f>Asignación!C31</f>
        <v>410</v>
      </c>
      <c r="F37" s="4" t="s">
        <v>89</v>
      </c>
      <c r="G37" s="94">
        <f>'S. INVESTIGACIÓN'!G10</f>
        <v>2</v>
      </c>
      <c r="H37" s="5" t="str">
        <f>'S. INVESTIGACIÓN'!H10</f>
        <v>TALLERES</v>
      </c>
      <c r="I37" s="5">
        <f>Asignación!K31</f>
        <v>5000000</v>
      </c>
      <c r="J37" s="5">
        <f>'S. INVESTIGACIÓN'!J10</f>
        <v>0</v>
      </c>
      <c r="K37" s="5">
        <f t="shared" si="17"/>
        <v>5000000</v>
      </c>
      <c r="L37" s="94">
        <f>'S. INVESTIGACIÓN'!L10</f>
        <v>0</v>
      </c>
      <c r="M37" s="94">
        <f>'S. INVESTIGACIÓN'!M10</f>
        <v>0</v>
      </c>
      <c r="N37" s="94">
        <f>'S. INVESTIGACIÓN'!N10</f>
        <v>0</v>
      </c>
      <c r="O37" s="94">
        <f>'S. INVESTIGACIÓN'!O10</f>
        <v>0</v>
      </c>
      <c r="P37" s="94">
        <f>'S. INVESTIGACIÓN'!P10</f>
        <v>0</v>
      </c>
      <c r="Q37" s="94">
        <f>'S. INVESTIGACIÓN'!Q10</f>
        <v>0</v>
      </c>
      <c r="R37" s="94">
        <f>'S. INVESTIGACIÓN'!R10</f>
        <v>0</v>
      </c>
      <c r="S37" s="267">
        <f t="shared" si="1"/>
        <v>0</v>
      </c>
      <c r="T37" s="267">
        <f t="shared" si="18"/>
        <v>0</v>
      </c>
      <c r="U37" s="267">
        <f t="shared" si="14"/>
        <v>0</v>
      </c>
      <c r="V37" s="22" t="str">
        <f>'S. INVESTIGACIÓN'!V10</f>
        <v>NO SE HA EJECUTADO EN ESTE TRIMESTRE, PENDIENTES POR DESARROLLAR</v>
      </c>
      <c r="W37" s="5">
        <f>'S. INVESTIGACIÓN'!W10</f>
        <v>5000000</v>
      </c>
      <c r="X37" s="5">
        <f>'S. INVESTIGACIÓN'!X10</f>
        <v>0</v>
      </c>
      <c r="Y37" s="5">
        <f t="shared" si="19"/>
        <v>5000000</v>
      </c>
      <c r="Z37" s="94">
        <f>'S. INVESTIGACIÓN'!Z10</f>
        <v>0</v>
      </c>
      <c r="AA37" s="99">
        <f>'S. INVESTIGACIÓN'!AA10</f>
        <v>0</v>
      </c>
      <c r="AB37" s="94">
        <f>'S. INVESTIGACIÓN'!AB10</f>
        <v>0</v>
      </c>
      <c r="AC37" s="99">
        <f>'S. INVESTIGACIÓN'!AC10</f>
        <v>0</v>
      </c>
      <c r="AD37" s="94">
        <f>'S. INVESTIGACIÓN'!AD10</f>
        <v>3</v>
      </c>
      <c r="AE37" s="99">
        <f>'S. INVESTIGACIÓN'!AE10</f>
        <v>1.5</v>
      </c>
      <c r="AF37" s="94">
        <f>'S. INVESTIGACIÓN'!AF10</f>
        <v>3</v>
      </c>
      <c r="AG37" s="249">
        <f t="shared" si="4"/>
        <v>0</v>
      </c>
      <c r="AH37" s="249">
        <f t="shared" si="20"/>
        <v>1.5</v>
      </c>
      <c r="AI37" s="249">
        <f t="shared" si="6"/>
        <v>0.75</v>
      </c>
      <c r="AJ37" s="22" t="str">
        <f>'S. INVESTIGACIÓN'!AJ10</f>
        <v>Proyecto transversalidad de la investigacion de lo académico que fue aprobado por el COCEIN y el consejo académico buscar acta cocein y acta académico: 3 talleres, 1 cocein, 2 académico y 3 profesores: ACTA No. 7 COCEIN</v>
      </c>
      <c r="AK37" s="5">
        <f>'S. INVESTIGACIÓN'!AK10</f>
        <v>5000000</v>
      </c>
      <c r="AL37" s="5">
        <f>'S. INVESTIGACIÓN'!AL10</f>
        <v>0</v>
      </c>
      <c r="AM37" s="5">
        <f>'S. INVESTIGACIÓN'!AM10</f>
        <v>5000000</v>
      </c>
      <c r="AN37" s="5">
        <f>'S. INVESTIGACIÓN'!AN10</f>
        <v>0</v>
      </c>
      <c r="AO37" s="99">
        <f>'S. INVESTIGACIÓN'!AO10</f>
        <v>0</v>
      </c>
      <c r="AP37" s="94">
        <f>'S. INVESTIGACIÓN'!AP10</f>
        <v>0</v>
      </c>
      <c r="AQ37" s="99">
        <f>'S. INVESTIGACIÓN'!AQ10</f>
        <v>0</v>
      </c>
      <c r="AR37" s="94">
        <f>'S. INVESTIGACIÓN'!AR10</f>
        <v>0</v>
      </c>
      <c r="AS37" s="99">
        <f>'S. INVESTIGACIÓN'!AS10</f>
        <v>0</v>
      </c>
      <c r="AT37" s="94">
        <f>'S. INVESTIGACIÓN'!AT10</f>
        <v>0</v>
      </c>
      <c r="AU37" s="363">
        <f t="shared" si="15"/>
        <v>0</v>
      </c>
      <c r="AV37" s="363">
        <f t="shared" si="21"/>
        <v>0</v>
      </c>
      <c r="AW37" s="363">
        <f t="shared" si="16"/>
        <v>0</v>
      </c>
      <c r="AX37" s="22" t="str">
        <f>'S. INVESTIGACIÓN'!AX10</f>
        <v>YA SE CUMPLIÓ LA META, SE DESARROLLARON 3 TALLERES</v>
      </c>
    </row>
    <row r="38" spans="1:50" ht="33" customHeight="1" x14ac:dyDescent="0.25">
      <c r="A38" s="594"/>
      <c r="B38" s="610"/>
      <c r="C38" s="26" t="str">
        <f>Asignación!A32</f>
        <v>SI-PY2.2</v>
      </c>
      <c r="D38" s="258" t="str">
        <f>Asignación!B32</f>
        <v>Taller con experto en Gestión  y apropiación social del conocimiento.</v>
      </c>
      <c r="E38" s="26">
        <f>Asignación!C32</f>
        <v>410</v>
      </c>
      <c r="F38" s="4" t="s">
        <v>110</v>
      </c>
      <c r="G38" s="94">
        <f>'S. INVESTIGACIÓN'!G11</f>
        <v>1</v>
      </c>
      <c r="H38" s="5" t="str">
        <f>'S. INVESTIGACIÓN'!H11</f>
        <v xml:space="preserve">TALLER </v>
      </c>
      <c r="I38" s="5">
        <f>Asignación!K32</f>
        <v>5000000</v>
      </c>
      <c r="J38" s="5">
        <f>'S. INVESTIGACIÓN'!J11</f>
        <v>0</v>
      </c>
      <c r="K38" s="5">
        <f t="shared" si="17"/>
        <v>5000000</v>
      </c>
      <c r="L38" s="94">
        <f>'S. INVESTIGACIÓN'!L11</f>
        <v>0</v>
      </c>
      <c r="M38" s="94">
        <f>'S. INVESTIGACIÓN'!M11</f>
        <v>0</v>
      </c>
      <c r="N38" s="94">
        <f>'S. INVESTIGACIÓN'!N11</f>
        <v>0</v>
      </c>
      <c r="O38" s="94">
        <f>'S. INVESTIGACIÓN'!O11</f>
        <v>0</v>
      </c>
      <c r="P38" s="94">
        <f>'S. INVESTIGACIÓN'!P11</f>
        <v>0</v>
      </c>
      <c r="Q38" s="94">
        <f>'S. INVESTIGACIÓN'!Q11</f>
        <v>0</v>
      </c>
      <c r="R38" s="94">
        <f>'S. INVESTIGACIÓN'!R11</f>
        <v>0</v>
      </c>
      <c r="S38" s="267">
        <f t="shared" si="1"/>
        <v>0</v>
      </c>
      <c r="T38" s="267">
        <f t="shared" si="18"/>
        <v>0</v>
      </c>
      <c r="U38" s="267">
        <f t="shared" si="14"/>
        <v>0</v>
      </c>
      <c r="V38" s="22" t="str">
        <f>'S. INVESTIGACIÓN'!V11</f>
        <v>NO SE HA EJECUTADO EN ESTE TRIMESTRE, NO SE HA REALIZADO NINGUN TALLER AÚN, PENDITE</v>
      </c>
      <c r="W38" s="5">
        <f>'S. INVESTIGACIÓN'!W11</f>
        <v>5000000</v>
      </c>
      <c r="X38" s="5">
        <f>'S. INVESTIGACIÓN'!X11</f>
        <v>5000000</v>
      </c>
      <c r="Y38" s="5">
        <f t="shared" si="19"/>
        <v>0</v>
      </c>
      <c r="Z38" s="94">
        <f>'S. INVESTIGACIÓN'!Z11</f>
        <v>0</v>
      </c>
      <c r="AA38" s="99">
        <f>'S. INVESTIGACIÓN'!AA11</f>
        <v>0</v>
      </c>
      <c r="AB38" s="94">
        <f>'S. INVESTIGACIÓN'!AB11</f>
        <v>1</v>
      </c>
      <c r="AC38" s="99">
        <f>'S. INVESTIGACIÓN'!AC11</f>
        <v>1</v>
      </c>
      <c r="AD38" s="94">
        <f>'S. INVESTIGACIÓN'!AD11</f>
        <v>0</v>
      </c>
      <c r="AE38" s="99">
        <f>'S. INVESTIGACIÓN'!AE11</f>
        <v>0</v>
      </c>
      <c r="AF38" s="94">
        <f>'S. INVESTIGACIÓN'!AF11</f>
        <v>1</v>
      </c>
      <c r="AG38" s="249">
        <f t="shared" si="4"/>
        <v>1</v>
      </c>
      <c r="AH38" s="249">
        <f t="shared" si="20"/>
        <v>1</v>
      </c>
      <c r="AI38" s="249">
        <f t="shared" si="6"/>
        <v>1</v>
      </c>
      <c r="AJ38" s="22" t="str">
        <f>'S. INVESTIGACIÓN'!AJ11</f>
        <v>1 - SE REALIZÓ (1) UN TALLER CON EXPERTO EN GESTIÓN Y APROPIACIÓN SOCIAL DEL CONOCIMIENTO (Doctora en Ciencias Médicas ZORAIDA MARIA AMABLE AMBROS, identificado con Pasaporte No. I392547 de Nacionalidad Cubana): RESOLUCION No. 047</v>
      </c>
      <c r="AK38" s="5">
        <f>'S. INVESTIGACIÓN'!AK11</f>
        <v>5000000</v>
      </c>
      <c r="AL38" s="5">
        <f>'S. INVESTIGACIÓN'!AL11</f>
        <v>5000000</v>
      </c>
      <c r="AM38" s="5">
        <f>'S. INVESTIGACIÓN'!AM11</f>
        <v>0</v>
      </c>
      <c r="AN38" s="5">
        <f>'S. INVESTIGACIÓN'!AN11</f>
        <v>0</v>
      </c>
      <c r="AO38" s="99">
        <f>'S. INVESTIGACIÓN'!AO11</f>
        <v>0</v>
      </c>
      <c r="AP38" s="94">
        <f>'S. INVESTIGACIÓN'!AP11</f>
        <v>0</v>
      </c>
      <c r="AQ38" s="99">
        <f>'S. INVESTIGACIÓN'!AQ11</f>
        <v>0</v>
      </c>
      <c r="AR38" s="94">
        <f>'S. INVESTIGACIÓN'!AR11</f>
        <v>0</v>
      </c>
      <c r="AS38" s="99">
        <f>'S. INVESTIGACIÓN'!AS11</f>
        <v>0</v>
      </c>
      <c r="AT38" s="94">
        <f>'S. INVESTIGACIÓN'!AT11</f>
        <v>0</v>
      </c>
      <c r="AU38" s="363">
        <f t="shared" si="15"/>
        <v>1</v>
      </c>
      <c r="AV38" s="363">
        <f t="shared" si="21"/>
        <v>0</v>
      </c>
      <c r="AW38" s="363">
        <f t="shared" si="16"/>
        <v>0.5</v>
      </c>
      <c r="AX38" s="22" t="str">
        <f>'S. INVESTIGACIÓN'!AX11</f>
        <v>YA SE CUMPLIÓ LA META, YA SE REALIZÓ TALLER</v>
      </c>
    </row>
    <row r="39" spans="1:50" ht="31.5" customHeight="1" x14ac:dyDescent="0.25">
      <c r="A39" s="594"/>
      <c r="B39" s="610"/>
      <c r="C39" s="26" t="str">
        <f>Asignación!A33</f>
        <v>SI-PY2.3</v>
      </c>
      <c r="D39" s="258" t="str">
        <f>Asignación!B33</f>
        <v>Acciones  de sensibilización sobre propuestas de investigación en el marco del programa ONDAS.</v>
      </c>
      <c r="E39" s="26">
        <f>Asignación!C33</f>
        <v>410</v>
      </c>
      <c r="F39" s="4" t="s">
        <v>110</v>
      </c>
      <c r="G39" s="94">
        <f>'S. INVESTIGACIÓN'!G12</f>
        <v>4</v>
      </c>
      <c r="H39" s="5" t="str">
        <f>'S. INVESTIGACIÓN'!H12</f>
        <v>TALLERES</v>
      </c>
      <c r="I39" s="5">
        <f>Asignación!K33</f>
        <v>0</v>
      </c>
      <c r="J39" s="5">
        <f>'S. INVESTIGACIÓN'!J12</f>
        <v>0</v>
      </c>
      <c r="K39" s="5">
        <f t="shared" si="17"/>
        <v>0</v>
      </c>
      <c r="L39" s="94">
        <f>'S. INVESTIGACIÓN'!L12</f>
        <v>0</v>
      </c>
      <c r="M39" s="94">
        <f>'S. INVESTIGACIÓN'!M12</f>
        <v>0</v>
      </c>
      <c r="N39" s="94">
        <f>'S. INVESTIGACIÓN'!N12</f>
        <v>0</v>
      </c>
      <c r="O39" s="94">
        <f>'S. INVESTIGACIÓN'!O12</f>
        <v>0</v>
      </c>
      <c r="P39" s="94">
        <f>'S. INVESTIGACIÓN'!P12</f>
        <v>0</v>
      </c>
      <c r="Q39" s="94">
        <f>'S. INVESTIGACIÓN'!Q12</f>
        <v>0</v>
      </c>
      <c r="R39" s="94">
        <f>'S. INVESTIGACIÓN'!R12</f>
        <v>0</v>
      </c>
      <c r="S39" s="267">
        <f t="shared" si="1"/>
        <v>0</v>
      </c>
      <c r="T39" s="267">
        <f t="shared" si="18"/>
        <v>0</v>
      </c>
      <c r="U39" s="267">
        <f t="shared" si="14"/>
        <v>0</v>
      </c>
      <c r="V39" s="22" t="str">
        <f>'S. INVESTIGACIÓN'!V12</f>
        <v>NO SE HA EJECUTADO EN ESTE TRIMESTRE</v>
      </c>
      <c r="W39" s="5">
        <f>'S. INVESTIGACIÓN'!W12</f>
        <v>0</v>
      </c>
      <c r="X39" s="5">
        <f>'S. INVESTIGACIÓN'!X12</f>
        <v>0</v>
      </c>
      <c r="Y39" s="5">
        <f t="shared" si="19"/>
        <v>0</v>
      </c>
      <c r="Z39" s="94">
        <f>'S. INVESTIGACIÓN'!Z12</f>
        <v>0</v>
      </c>
      <c r="AA39" s="99">
        <f>'S. INVESTIGACIÓN'!AA12</f>
        <v>0</v>
      </c>
      <c r="AB39" s="94">
        <f>'S. INVESTIGACIÓN'!AB12</f>
        <v>0</v>
      </c>
      <c r="AC39" s="99">
        <f>'S. INVESTIGACIÓN'!AC12</f>
        <v>0</v>
      </c>
      <c r="AD39" s="94">
        <f>'S. INVESTIGACIÓN'!AD12</f>
        <v>0</v>
      </c>
      <c r="AE39" s="99">
        <f>'S. INVESTIGACIÓN'!AE12</f>
        <v>0</v>
      </c>
      <c r="AF39" s="94">
        <f>'S. INVESTIGACIÓN'!AF12</f>
        <v>0</v>
      </c>
      <c r="AG39" s="249">
        <f t="shared" si="4"/>
        <v>0</v>
      </c>
      <c r="AH39" s="249">
        <f t="shared" si="20"/>
        <v>0</v>
      </c>
      <c r="AI39" s="249">
        <f t="shared" si="6"/>
        <v>0</v>
      </c>
      <c r="AJ39" s="22" t="str">
        <f>'S. INVESTIGACIÓN'!AJ12</f>
        <v>NO SE HA EJECUTADO EN ESTE TRIMESTRE, PROGRAMADAS TERCER TRIMESTRE</v>
      </c>
      <c r="AK39" s="5">
        <f>'S. INVESTIGACIÓN'!AK12</f>
        <v>0</v>
      </c>
      <c r="AL39" s="5">
        <f>'S. INVESTIGACIÓN'!AL12</f>
        <v>0</v>
      </c>
      <c r="AM39" s="5">
        <f>'S. INVESTIGACIÓN'!AM12</f>
        <v>0</v>
      </c>
      <c r="AN39" s="5">
        <f>'S. INVESTIGACIÓN'!AN12</f>
        <v>2</v>
      </c>
      <c r="AO39" s="99">
        <f>'S. INVESTIGACIÓN'!AO12</f>
        <v>0.5</v>
      </c>
      <c r="AP39" s="94">
        <f>'S. INVESTIGACIÓN'!AP12</f>
        <v>0</v>
      </c>
      <c r="AQ39" s="99">
        <f>'S. INVESTIGACIÓN'!AQ12</f>
        <v>0</v>
      </c>
      <c r="AR39" s="94">
        <f>'S. INVESTIGACIÓN'!AR12</f>
        <v>2</v>
      </c>
      <c r="AS39" s="99">
        <f>'S. INVESTIGACIÓN'!AS12</f>
        <v>0.5</v>
      </c>
      <c r="AT39" s="94">
        <f>'S. INVESTIGACIÓN'!AT12</f>
        <v>4</v>
      </c>
      <c r="AU39" s="363">
        <f t="shared" si="15"/>
        <v>0</v>
      </c>
      <c r="AV39" s="363">
        <f t="shared" si="21"/>
        <v>1</v>
      </c>
      <c r="AW39" s="363">
        <f t="shared" si="16"/>
        <v>0.5</v>
      </c>
      <c r="AX39" s="22" t="str">
        <f>'S. INVESTIGACIÓN'!AX12</f>
        <v>1 - Tema: Sistematización de la información: Diario de Campo y bitacora - LISIMACO VALLEJO CUELLAR, CONTRATO VIPS 136-A2017
2 - Tema: Investigar una buena Onda, apoyo en la etapa de trayectoria de la indagación según metodología de la guía de investigación e innovación del Programa Ondas - AMANDA EDID BONILLA CALDERON, CONTRATO VIPS 135-A2017
3 - Tema: Análisis de base de datos cualitativos y cuantitativos de información recolectada de los proyectos de los grupos de investigación Ondas - LISIMACO VALLEJO CUELLAR, CONTRATO VIPS 315-B2017
4 - Tema:  Construcción y aplicación de instrumentos de recolección de datos e información en investigación - ANGELICA MARIA ESPAÑA MALDONADO, CONTRATO VIPS 313-B2017</v>
      </c>
    </row>
    <row r="40" spans="1:50" ht="45.75" customHeight="1" x14ac:dyDescent="0.25">
      <c r="A40" s="594"/>
      <c r="B40" s="610"/>
      <c r="C40" s="26" t="str">
        <f>Asignación!A34</f>
        <v>SI-PY2.4</v>
      </c>
      <c r="D40" s="258" t="str">
        <f>Asignación!B34</f>
        <v>Apoyo al desarrollo de los proyectos formulados por los grupos, en el marco del convenio ONDAS.</v>
      </c>
      <c r="E40" s="26">
        <f>Asignación!C34</f>
        <v>410</v>
      </c>
      <c r="F40" s="4" t="s">
        <v>110</v>
      </c>
      <c r="G40" s="94">
        <f>'S. INVESTIGACIÓN'!G13</f>
        <v>3</v>
      </c>
      <c r="H40" s="5" t="str">
        <f>'S. INVESTIGACIÓN'!H13</f>
        <v>PROYECTOS</v>
      </c>
      <c r="I40" s="5">
        <f>Asignación!K34</f>
        <v>18000000</v>
      </c>
      <c r="J40" s="5">
        <f>'S. INVESTIGACIÓN'!J13</f>
        <v>2853333</v>
      </c>
      <c r="K40" s="5">
        <f t="shared" si="17"/>
        <v>15146667</v>
      </c>
      <c r="L40" s="94">
        <f>'S. INVESTIGACIÓN'!L13</f>
        <v>0</v>
      </c>
      <c r="M40" s="94">
        <f>'S. INVESTIGACIÓN'!M13</f>
        <v>0</v>
      </c>
      <c r="N40" s="94">
        <f>'S. INVESTIGACIÓN'!N13</f>
        <v>0</v>
      </c>
      <c r="O40" s="94">
        <f>'S. INVESTIGACIÓN'!O13</f>
        <v>0</v>
      </c>
      <c r="P40" s="94">
        <f>'S. INVESTIGACIÓN'!P13</f>
        <v>0</v>
      </c>
      <c r="Q40" s="94">
        <f>'S. INVESTIGACIÓN'!Q13</f>
        <v>0</v>
      </c>
      <c r="R40" s="94">
        <f>'S. INVESTIGACIÓN'!R13</f>
        <v>0</v>
      </c>
      <c r="S40" s="267">
        <f t="shared" si="1"/>
        <v>0.15851850000000001</v>
      </c>
      <c r="T40" s="267">
        <f t="shared" si="18"/>
        <v>0</v>
      </c>
      <c r="U40" s="267">
        <f t="shared" si="14"/>
        <v>7.9259250000000003E-2</v>
      </c>
      <c r="V40" s="22" t="str">
        <f>'S. INVESTIGACIÓN'!V13</f>
        <v>SE ESTA EN PROCESO DE EVALUACIÓN Y SELECCIÓN DE LAS PROPUESTAS DE INVESTIGACIÓN QUE VAN A SER ASESORADOS PARA EL AÑO 2017
Nombre del Grupo de Investigación - Pregunta de Investigación
1. CONVIVIR EN PAZ - ¿Cuáles son los problemas de convivencia escolar que cotidianamente se observan en la Institución Educativa San Lorenzo del Municipio de Suaza?
2. TEJEDORES DE SUEÑOS - ¿Cómo rescatar la artesanía del sombrero Suaza para que no desparezca su tradición y como proyectar un relevo generacional en los jóvenes del municipio de Suaza para que continúe la trayectoria de las artesanas de avanzada edad?
3. CLUB ESCOLAR DE CIENCIA, TECNOLOGIA E INNOVACIÓN SAN JUAN BOSCO - ¿Históricamente cuáles plantas medicinales han sido utilizadas en la comunidad educativa y para qué sintomatología son utilizadas?, ¿Las familias de los estudiantes de los grados de secundaria en qué proporción son adictas al tratamiento con productos naturales o de la medicina farmacéutica?, ¿Cuáles son las razones de ese comportamiento?
4. SONAE - ¿cuáles son las especies de plantas de uso comestibles en el casco urbano, así como en las veredas Pueblo Viejo, Llanitos y buenos Aires del Municipio Acevedo y como se elaboran las recetas gastronómicas locales a partir de ellas?
5. PINVAMAC (PEQUEÑOS INVESTIGADORES AMBIENTALES DE ACEVEDO) - ¿cuál es el estado actual en la que se encuentra la quebrada el cangrejo del Municipio de Acevedo, Huila?
6. PEQUEÑOS INNOVADORES - ¿Que utilidad se le puede dar a los residuos sólidos de la institución educativa San Adolfo sede la Esperanza?
7. SANADOECO - Cómo aprovechar algunos residuos sólidos en la transformación manual para el embellecimiento de nuestra Institución.
8. REVERDESER - Qué viabilidad hay en la producción de abono orgánico con la pulpa de café en la institución educativa San Adolfo
9. SEMILLAS DE INVESTIGACION - ¿cuál es la onda de luz más benéfica para el crecimiento de semillas de frijol, maíz y arveja?
10. VIGIAS AMBIENTALES ESCOLARES - ¿Cuáles fuentes hídricas de la región han desaparecido y cuales han disminuido su caudal? ¿Cuáles han sido las causas de la desaparición o disminución de caudales? ¿Qué acciones se pueden sugerir para  preservación? 
11. LIBROS LIBRES - ¿Cómo lograr que los estudiantes de la zona rural de nuestro municipio puedan acceder a obras literarias de bajo costo y alta calidad sin violar derechos de autor?
12. LUPITOS - ¿Cómo obtener gas natural a partir de los residuos orgánicos producidos en nuestra comunidad educativa?
13. EN LA PREVENCIÓN DE LA DESERCIÓN ESCOLAR - ¿Cuáles son las causas que provocan la deserción escolar y que estrategias se pueden implementar para reducir la problemática teniendo en cuenta la taza presentada en el año 2016 en la Institución educativa Esteban Rojas Tovar del municipio de Tarqui Huila?
14. CONECTATE CON EL INGLÉS "CONECTA2" - ¿Cuál es la mejor técnica para el aprendizaje de vocabulario básico en inglés para los estudiantes de la zona rural de la I.E San Isidro del municipio de Acevedo dentro y fuera del aula de clase?
15. RECICLANDO SUEÑOS - ¿Qué estrategias implementar para que los niños y la comunidad educativa San Isidro adopten Como práctica cotidiana la selección de los residuos sólidos y fomento de una cultura ambiental de la mano de la comunidad y las autoridades ambientales del municipio desarrollando  la Construcción de cultura ambiental y ciudadanía?
16. FUTURITOS AMIGOS DEL MEDIO AMBIENTE - ¿Cómo podemos reutilizar los residuos sólidos de la Institución Educativa San Juan Bosco para minimizar la contaminación ambiental en nuestra comunidad estudiantil?
17. CONQUISTADORES DEL ENTORNO - ¿Cómo está el entorno de la fuente termal y azufrada que desemboca en la quebrada del Chuyaco del municipio de Tarqui? ¿Cómo podemos preservar esta fuente?
18. ELECTRÓN - ¿Cuáles plantas medicinales y para qué sintomatología podrían ser utilizadas en la comunidad educativa de la I.E. San Isidro?
19. DEFENSORES DEL AGUA - ¿En qué condiciones se encuentra el agua en los nacederos de las veredas Las Juntas, El Vergel, Alto Tablón, La Argentina y Esmeralda? ¿Cómo cuidarlas?
20. TEJIENDO PASOS - ¿Como el arte del tejido de la iraca desde el saber tradicional fortalece el patrimonio cultural y la educación propia de la comunidad educativa de la Institución Educativa la Unión del municipio de Suaza?
21. AQUANIÑOS - ¿El árbol nacedero aumenta los caudales hídricos de la vereda las Brisas de San Isidro Acevedo Huila?
22. CAFETERITOS INVESTIGADORES - ¿Cómo nace, crece y se produce el árbol de café?
23. LOS DRAMÁTICOS FASE II - Cómo potenciar mis habilidades en la puesta en escena?
24. ORALIDAD Y ESCRITURA: TEJIENDO IDENTIDAD A PARTIR DE NUESTRO PASADO - ¿Cómo nuestra memoria colectiva y el pasado, expresado en los  mitos y leyendas,  reafirma nuestra identidad huilense  y el amor por nuestra región?
25. GREEN ENERGY - ¿Cómo aprovechar la energía magnética para aplicarla en la vida cotidiana de los educandos de grado Séptimo de la Institución Educativa Marticas del municipio de Acevedo - Huila?
26. ROBOTICS - ¿Cómo aplicar la robótica desde  el área de Ciencias Naturales en los niños de grado Cuarto de la Institución Educativa Marticas de Acevedo, Huila?
27. LOS DRONS - ¿Cómo incentivar el interés por la robótica con recursos caseros en el grado Octavo de la Institución Educativa Marticas del municipio de Acevedo - Huila?
28. LOS PRIME - ¿Cómo diseñar un sistema de transformación de la energía con recursos reciclables en el grado Quinto de la Institución Educativa Marticas del municipio de Acevedo - Huila?
29. ECOCREADORES - ¿La fabricación de algunos útiles escolares con material casero y reciclado permitirá aumentar la eficiencia académica de los estudiantes de la I.E. Marticas del municipio de Acevedo?
30. TECNO-RECICLADORES - ¿Como las salas de monitores en red con una sola C.P.U contribuyen  a solucionar el problema de la falta de material audiovisual para el desarrollo académico y contribuye a la parte ambiental?
31. PEQUEGENIOS - Cuales son las fortalezas y debilidades de utilizar de algunas plantas medicinales en el control del vectores (cucarachas)
32. LOS CREATIVOS - cómo utilizar la biomasa y generar energía?
33. ESCRITORES DE LIBERTAD - ¿Cómo fortalecer la comunicación y la sana convivencia mediante la ejecución del periódico escolar virtual, estimulando la lectura y comprensión lectora en los estudiantes de los grados tercero, Cuarto y quinto de la Institución Educativa la Unión del municipio de Suaza Huila?
34. ALIMENTANDO CON AMOR ATRAVES DE NUESTRA HISTORIA - ¿Cuál es la importancia del aprovechamiento y utilización de los productos tradicionales de la región de San José de Riecito en el municipio de Acevedo Huila?
35. FAMILECTORES - ¿Cuál es el nivel educativo y los hábitos lectores de los padres de familia y estudiantes de la sede principal de la institución educativa la Victoria y que estrategias se pueden implementar para mejorar la formación de hábitos de estudio?
36. GUARDIANES AMBIENTALES - ¿Cómo podemos mejorar nuestro entorno ambiental a través del trabajo en equipo con los miembros de la comunidad de la Institución Educativa La Victoria?
37. ABONOR - Como Fortalecer procesos de certificación en la producción de abonos orgánicos para implementar la agricultura limpia.
38. COMIENDO ME NUTRO Y APRENDO - ¿Cómo crear buenos hábitos alimenticios en los 23 Estudiantes  de la sede Paraíso de la I.E. La Bernarda del municipio de Guadalupe - Huila?
39. EN LA ONDA DEL RECICLAJE - ¿Históricamente cuáles han sido las prácticas más usuales en la disposición final de los residuos orgánicos e inorgánicos? ¿Cuáles considera como buenas prácticas en esta materia que puedan ser tenidas en cuenta en la cultura ciudadana ambiental?
40. LOS AGENTES DEL AMBIENTE - ¿Cómo podemos disminuir la contaminación del medio ambiental a través de la utilización de los desechos que se producen a la hora del procesamiento del café en la I. E. Bateas Sede El Encanto?
41. GUADUALITOS - ¿Cómo se puede establecer un plan de aprovechamiento sostenible para la especie Guadua en la comunidad educativa de las veredas La Colonia y Los Guaduales?
42. LOS AMIGOS DE LA TIERRA - ¿Cómo disponer y aprovechar de forma adecuada los residuos sólidos orgánicos e inorgánicos generados en la sede Aguas Claras de la IE San Adolfo del municipio de Acevedo?
43. LOS ECOLOGISTAS DEL FUTURO - ¿Por qué a los niños y niñas de la Sede Sartenejal, les cuesta trabajo reciclar?
44. SEMILLAS DE AMOR - ¿Cuál es la incidencia que tiene la huerta escolar en la construcción de aprendizajes significativos, desde la interdisciplinariedad en los niños y niñas de la Institución Educativa José Acevedo y Gómez – Sede El Mirador?
45. EUREKA - ¿fuente hídrica? ¿Qué acciones podemos realizar para recuperarla?
46. BIOJUVENTUD - ¿Cómo podemos implementar procesos de calidad en la producción de Bioinsecticidas?</v>
      </c>
      <c r="W40" s="5">
        <f>'S. INVESTIGACIÓN'!W13</f>
        <v>18000000</v>
      </c>
      <c r="X40" s="5">
        <f>'S. INVESTIGACIÓN'!X13</f>
        <v>7775333</v>
      </c>
      <c r="Y40" s="5">
        <f t="shared" si="19"/>
        <v>10224667</v>
      </c>
      <c r="Z40" s="94">
        <f>'S. INVESTIGACIÓN'!Z13</f>
        <v>13</v>
      </c>
      <c r="AA40" s="99">
        <f>'S. INVESTIGACIÓN'!AA13</f>
        <v>4.333333333333333</v>
      </c>
      <c r="AB40" s="94">
        <f>'S. INVESTIGACIÓN'!AB13</f>
        <v>13</v>
      </c>
      <c r="AC40" s="99">
        <f>'S. INVESTIGACIÓN'!AC13</f>
        <v>4.333333333333333</v>
      </c>
      <c r="AD40" s="94">
        <f>'S. INVESTIGACIÓN'!AD13</f>
        <v>13</v>
      </c>
      <c r="AE40" s="99">
        <f>'S. INVESTIGACIÓN'!AE13</f>
        <v>4.333333333333333</v>
      </c>
      <c r="AF40" s="94">
        <f>'S. INVESTIGACIÓN'!AF13</f>
        <v>39</v>
      </c>
      <c r="AG40" s="249">
        <f t="shared" si="4"/>
        <v>0.43196294444444444</v>
      </c>
      <c r="AH40" s="249">
        <f t="shared" si="20"/>
        <v>13</v>
      </c>
      <c r="AI40" s="249">
        <f t="shared" si="6"/>
        <v>6.7159814722222224</v>
      </c>
      <c r="AJ40" s="22" t="str">
        <f>'S. INVESTIGACIÓN'!AJ13</f>
        <v>Se apoyo al desarrollo de 39 proyectos formulados por los grupos, en el marco del convenio ONDAS: PROPUESTAS DE INVESTIGACIÓN SELECCIÓNADAS QUE VAN A SER ASESORADOS PARA EL AÑO 2017
Nombre del Grupo de Investigación - Pregunta de Investigación - Avance - Porcentaje
1. CONVIVIR EN PAZ - ¿Cuáles son los problemas de convivencia escolar que cotidianamente se observan en la institución educativa san Lorenzo del Municipio de Suaza? - Se han realizado 2 visitas de asesoría y hasta el momento se han diligenciado hasta la bitácora 3. Avance 38%
2. TEJEDORES DE SUEÑOS  - ¿Cómo rescatar la artesanía del sombrero Suaza para que no desparezca su tradición y como proyectar un relevo generacional en los jóvenes del municipio de Suaza para que continúe la trayectoria de las artesanas de avanzada edad? - Se han realizado 2 visitas de asesoría y hasta el momento se han diligenciado hasta la bitácora 3. Avance 38%
3. CLUB ESCOLAR DE CIENCIA, TECNOLOGIA E INNOVACIÓN SAN JUAN BOSCO - "¿Históricamente cuáles plantas medicinales han sido utilizadas en la comunidad educativa y para qué sintomatología son utilizadas?, ¿Las familias de los estudiantes de los grados de secundaria en qué proporción son adictas al tratamiento con productos naturales o de la medicina farmacéutica?, ¿Cuáles son las razones de ese comportamiento?” - Se han realizado 2 visitas de asesoría y hasta el momento se han diligenciado hasta la bitácora 3. Avance 38%
4. SONAE - ¿CUÁLES SON LAS ESPECIES DE PLANTAS DE USO COMESTIBLES EN EL CASCO URBANO, ASÍ COMO EN LAS VEREDAS PUEBLO VIEJO, LLANITOS Y BUENOS AIRES DEL MUNICIPIO ACEVEDO Y COMO SE ELABORAN LAS RECETAS GASTRONÓMICAS LOCALES A PARTIR DE ELLAS? - Se han realizado 2 visitas de asesoría y hasta el momento se han diligenciado hasta la bitácora 3. Avance 38%
5. PINVAMAC (PEQUEÑOS INVESTIGADORES AMBIENTALES DE ACEVEDO)  - ¿cuál es el estado actual en la que se encuentra la quebrada el cangrejo del municipio de Acevedo, Huila? - Se han realizado 2 visitas de asesoría y hasta el momento se han diligenciado hasta la bitácora 3. Avance 38%
6. REVERDESER - Qué viabilidad hay en la producción de abono orgánico con la pulpa de café en la institución educativa San Adolfo -  Se han realizado 2 visitas de asesoría y hasta el momento se han diligenciado hasta la bitácora 3. Avance 38%
7. SEMILLAS DE INVESTIGACION -  cuál es la onda de luz más benéfica para el crecimiento de semillas de frijol, maíz y arveja? - Se han realizado 2 visitas de asesoría y hasta el momento se han diligenciado hasta la bitácora 3. Avance 38%
8. VIGIAS AMBIENTALES ESCOLARES - "¿Cuales fuentes hídricas de la región han desaparecido y cuales han disminuido su caudal? ¿Cuáles han sido las causas  de la desaparición o disminución de caudales? ¿Qué acciones se pueden sugerir para  preservación?" - Se han realizado 2 visitas de asesoría y hasta el momento se han diligenciado hasta la bitácora 3. Avance 38%
9. LIBROS LIBRES - "¿Cómo lograr que los estudiantes de la zona rural de nuestro municipio puedan acceder a obras literarias de bajo costo y alta calidad sin violar derechos de autor?" - Se han realizado 2 visitas de asesoría y hasta el momento se han diligenciado hasta la bitácora 3. Avance 38%
10. LUPITOS - Cómo obtener gas natural a partir de los residuos orgánicos producidos en nuestra comunidad educativa? -Se han realizado 2 visitas de asesoría y hasta el momento se han diligenciado hasta la bitácora 3. Avance 38%
11. EN LA PREVENCIÓN DE LA DESERCIÓN ESCOLAR - Cuales son las causas que provocan la deserción escolar y que estrategias se pueden implementar para reducir la problemática teniendo en cuenta la taza presentada en el año 2016 en la Institución educativa Esteban Rojas Tovar del municipio de Tarqui Huila? - Se han realizado 2 visitas de asesoría y hasta el momento se han diligenciado hasta la bitácora 3. Avance 38%
12. CONECTATE CON EL INGLÉS "CONECTA2" - ¿Cuál es la mejor técnica para el aprendizaje de vocabulario básico en inglés para los estudiantes de la zona rural de la I.E San Isidro del municipio de Acevedo dentro y fuera del aula de clase? - Se han realizado 2 visitas de asesoría y hasta el momento se han diligenciado hasta la bitácora 3. Avance 38%
13. RECICLANDO SUEÑOS - "¿Qué estrategias implementar para que los niños y la comunidad educativa San Isidro adopten Como práctica cotidiana la selección de los residuos sólidos y fomento de una cultura ambiental de la mano de la comunidad y las autoridades ambientales del municipio desarrollando  la  Construcción de cultura ambiental y ciudadanía?" - Se han realizado 2 visitas de asesoría y hasta el momento se han diligenciado hasta la bitácora 3. Avance 38%
14. FUTURITOS AMIGOS DEL MEDIO AMBIENTE - CÓMO PODEMOS REUTILIZAR LOS RESIDUOS SÓLIDOS DE LA INSTITUCIÓN EDUCATIVA SAN JUAN BOSCO PARA MINIMIZAR LA CONTAMINACIÓN AMBIENTAL EN NUESTRA COMUNIDAD ESTUDIANTIL? - Se han realizado 2 visitas de asesoría y hasta el momento se han diligenciado hasta la bitácora 3. Avance 38%
15. CONQUISTADORES DEL ENTORNO - ¿Cómo está el entorno de la fuente termal y azufrada que desemboca en la quebrada del Chuyaco del municipio de Tarqui? ¿Cómo podemos preservar esta fuente? - Se han realizado 2 visitas de asesoría y hasta el momento se han diligenciado hasta la bitácora 3. Avance 38%
16. ELECTRÓN - ¿Cuáles plantas medicinales y para qué sintomatología podrían ser utilizadas en la comunidad educativa de la I.E. San Isidro? - Se han realizado 2 visitas de asesoría y hasta el momento se han diligenciado hasta la bitácora 3. Avance 38%
17. DEFENSORES DEL AGUA - En qué condiciones se encuentra el agua en los nacederos de las veredas Las Juntas, El Vergel, Alto Tablón, La Argentina y Esmeralda? Como cuidarlas? - Se han realizado 2 visitas de asesoría y hasta el momento se han diligenciado hasta la bitácora 3. Avance 38%
18. TEJIENDO PASOS - ¿Como el arte del tejido de la iraca desde el saber tradicional fortalece el patrimonio cultural y la educación propia de la comunidad educativa de la Institución Educativa la Unión del municipio de Suaza? - Se han realizado 2 visitas de asesoría y hasta el momento se han diligenciado hasta la bitácora 3. Avance 38%
19. CAFETERITOS INVESTIGADORES  - Cómo nace, crece y se produce el árbol de café - Se han realizado 2 visitas de asesoría y hasta el momento se han diligenciado hasta la bitácora 3. Avance  38%
20. AQUANIÑOS - ¿El árbol nacedero aumenta los caudales hídricos de la vereda las Brisas de San Isidro Acevedo Huila? - Se han realizado 2 visitas de asesoría y hasta el momento se han diligenciado hasta la bitácora 4. Avance 50%
21. ORALIDAD Y ESCRITURA: TEJIENDO IDENTIDAD A PARTIR DE NUESTRO PASADO - ¿Cómo nuestra memoria colectiva y el pasado, expresado en los  mitos y leyendas,  reafirma nuestra identidad huilense  y el amor por nuestra región? - Se han realizado 2 visitas de asesoría y hasta el momento se han diligenciado hasta la bitácora 3. Avance 38%
22. GREEN ENERGY ¿Cómo aprovechar la energía magnética para aplicarla en la vida cotidiana de los educandos de grado Séptimo de la Institución Educativa Marticas del municipio de Acevedo - Huila? - Se han realizado 2 visitas de asesoría y hasta el momento se han diligenciado hasta la bitácora 3. Avance 38%
23. ROBOTICS - ¿Cómo aplicar la robótica desde  el área de Ciencias Naturales en los niños de grado Cuarto de la Institución Educativa Marticas de Acevedo, Huila? - Se han realizado 2 visitas de asesoría y hasta el momento se han diligenciado hasta la bitácora 3. Avance 38%
24. LOS DRONS - ¿Cómo incentivar el interés por la robótica con recursos caseros en el grado Octavo de la Institución Educativa Marticas del municipio de Acevedo - Huila? - Se han realizado 2 visitas de asesoría y hasta el momento se han diligenciado hasta la bitácora 3. Avance 38%
25. LOS PRIME - ¿Cómo diseñar un sistema de transformación de la energía con recursos reciclables en el grado Quinto de la Institución Educativa Marticas del municipio de Acevedo - Huila? - Se han realizado 2 visitas de asesoría y hasta el momento se han diligenciado hasta la bitácora 3. - 38%
26. ECOCREADORES - ¿La fabricación de algunos útiles escolares con material casero y reciclado permitirá aumentar la eficiencia académica de los estudiantes de la I.E. Marticas del municipio de Acevedo? - Se han realizado 2 visitas de asesoría y hasta el momento se han diligenciado hasta la bitácora 3. Avance 38%
27. PEQUEGENIOS - Cuales son las fortalezas y debilidades de utilizar de algunas plantas medicinales en el control de los vectores (cucarachas) - Se han realizado 2 visitas de asesoría y hasta el momento se han diligenciado hasta la bitácora 3. Avance 38%
28. ESCRITORES DE LIBERTAD - ¿Cómo fortalecer la comunicación y la sana convivencia mediante la ejecución del periódico escolar virtual, estimulando la lectura y comprensión lectora en los estudiantes de los grados tercero, Cuarto y quinto de la Institución Educativa la Unión del municipio de Suaza Huila? - Se han realizado 2 visitas de asesoría y hasta el momento se han diligenciado hasta la bitácora 3. Avance 38%
29. ALIMENTANDO CON AMOR ATRAVES DE NUESTRA HISTORIA - Cual es la importancia del aprovechamiento y utilización de los productos tradicionales de la región de San José de Riecito en el municipio de Acevedo Huila? - Se han realizado 2 visitas de asesoría y hasta el momento se han diligenciado hasta la bitácora 3. Avance 38%
30. FAMILECTORES  - ¿Cuál es el nivel educativo y los hábitos lectores de los padres de familia y estudiantes de la sede principal de la institución educativa la Victoria y que estrategias se pueden implementar para mejorar la formación de hábitos de estudio?  - Se han realizado 2 visitas de asesoría y hasta el momento se han diligenciado hasta la bitácora 3. Avance 38%
31. GUARDIANES AMBIENTALES - ¿Cómo podemos mejorar nuestro entorno ambiental a través del trabajo en equipo con los miembros de la comunidad de la Institución Educativa La Victoria? - Se han realizado 2 visitas de asesoría y hasta el momento se han diligenciado hasta la bitácora 3. Avance 38%
32. ABONOR - Como Fortalecer procesos de certificación en la producción de abonos orgánicos para implementar la agricultura limpia. - Se han realizado 2 visitas de asesoría y hasta el momento se han diligenciado hasta la bitácora 3. Avance 38%
33. COMIENDO ME NUTRO Y APRENDO - ¿Cómo crear buenos hábitos alimenticios en los 23 Estudiantes  de la sede Paraíso de la I.E. La Bernarda del municipio de Guadalupe - Huila?  -Se han realizado 2 visitas de asesoría y hasta el momento se han diligenciado hasta la bitácora 3. Avance 38%
34. EN LA ONDA DEL RECICLAJE - ¿Históricamente cuáles han sido las prácticas más usuales en la disposición final de los residuos orgánicos e inorgánicos? ¿Cuáles considera como buenas prácticas en esta materia que puedan ser tenidas en cuenta en la cultura ciudadana ambiental? - Se han realizado 2 visitas de asesoría y hasta el momento se han diligenciado hasta la bitácora 3. Avance 38%
35. LOS AGENTES DEL AMBIENTE - ¿Cómo podemos disminuir la contaminación del medio ambiental a través de la utilización de los desechos que se producen a la hora del procesamiento del café en la I. E. Bateas Sede El Encanto? - Se han realizado 2 visitas de asesoría y hasta el momento se han diligenciado hasta la bitácora 3. Avance 38%
36. LOS AMIGOS DE LA TIERRA - ¿Cómo disponer y aprovechar de forma adecuada los residuos sólidos orgánicos e inorgánicos generados en la sede Aguas Claras de la IE San Adolfo del municipio de Acevedo? - Se han realizado 2 visitas de asesoría y hasta el momento se han diligenciado hasta la bitácora 3. Avance 38%
37. LOS ECOLOGISTAS DEL FUTURO. - ¿Por qué a los niños y niñas de la Sede Sartenejal, les cuesta trabajo reciclar? - Se han realizado 2 visitas de asesoría y hasta el momento se han diligenciado hasta la bitácora 3. Avance 38%
38. SEMILLAS DE AMOR - ¿Cuál es la incidencia que tiene la huerta escolar en la construcción de aprendizajes significativos, desde la interdisciplinariedad en los niños y niñas de la Institución Educativa José Acevedo y Gómez – Sede El Mirador? - Se han realizado 2 visitas de asesoría y hasta el momento se han diligenciado hasta la bitácora 4. Avance 50%
39. EUREKA - ¿Por qué los habitantes de la vereda El Carmen no protegen la quebrada Toguache, siendo ésta su única fuente hídrica? ¿Qué acciones podemos realizar para recuperarla? - Se han realizado 2 visitas de asesoría y hasta el momento se han diligenciado hasta la bitácora 3. Avance 38%</v>
      </c>
      <c r="AK40" s="5">
        <f>'S. INVESTIGACIÓN'!AK13</f>
        <v>18000000</v>
      </c>
      <c r="AL40" s="5">
        <f>'S. INVESTIGACIÓN'!AL13</f>
        <v>15035327</v>
      </c>
      <c r="AM40" s="5">
        <f>'S. INVESTIGACIÓN'!AM13</f>
        <v>2964673</v>
      </c>
      <c r="AN40" s="5">
        <f>'S. INVESTIGACIÓN'!AN13</f>
        <v>0</v>
      </c>
      <c r="AO40" s="99">
        <f>'S. INVESTIGACIÓN'!AO13</f>
        <v>0</v>
      </c>
      <c r="AP40" s="94">
        <f>'S. INVESTIGACIÓN'!AP13</f>
        <v>0</v>
      </c>
      <c r="AQ40" s="99">
        <f>'S. INVESTIGACIÓN'!AQ13</f>
        <v>0</v>
      </c>
      <c r="AR40" s="94">
        <f>'S. INVESTIGACIÓN'!AR13</f>
        <v>0</v>
      </c>
      <c r="AS40" s="99">
        <f>'S. INVESTIGACIÓN'!AS13</f>
        <v>0</v>
      </c>
      <c r="AT40" s="94">
        <f>'S. INVESTIGACIÓN'!AT13</f>
        <v>0</v>
      </c>
      <c r="AU40" s="363">
        <f t="shared" si="15"/>
        <v>0.83529594444444444</v>
      </c>
      <c r="AV40" s="363">
        <f t="shared" si="21"/>
        <v>0</v>
      </c>
      <c r="AW40" s="363">
        <f t="shared" si="16"/>
        <v>0.41764797222222222</v>
      </c>
      <c r="AX40" s="22" t="str">
        <f>'S. INVESTIGACIÓN'!AX13</f>
        <v>Ya se cumplió la meta y se sigue apoyando al desarrollo de 39 proyectos formulados por los grupos con un avance total en promedio total de 83% hasta el tercer trimestre, en el marco del convenio ONDAS: PROPUESTAS DE INVESTIGACIÓN SELECCIÓNADAS QUE VAN A SER ASESORADOS PARA EL AÑO 2017
Nombre del Grupo de Investigación - Pregunta de Investigación - Avance - Porcentaje
1. CONVIVIR EN PAZ - ¿Cuáles son los problemas de convivencia escolar que cotidianamente se observan en la institución educativa san Lorenzo del Municipio de Suaza? - Se han realizado 3 visitas de asesoría presencial y 2 virtuales. Hasta el momento se han diligenciado hasta la bitácora 7 – 87,5%
2. TEJEDORES DE SUEÑOS  - ¿Cómo rescatar la artesanía del sombrero Suaza para que no desparezca su tradición y como proyectar un relevo generacional en los jóvenes del municipio de Suaza para que continúe la trayectoria de las artesanas de avanzada edad? - Se han realizado 3 visitas de asesoría presencial y 2 virtuales. Hasta el momento se han diligenciado hasta la bitácora 6 - 75%
3. CLUB ESCOLAR DE CIENCIA, TECNOLOGIA E INNOVACIÓN SAN JUAN BOSCO - "¿Históricamente cuáles plantas medicinales han sido utilizadas en la comunidad educativa y para qué sintomatología son utilizadas?, ¿Las familias de los estudiantes de los grados de secundaria en qué proporción son adictas al tratamiento con productos naturales o de la medicina farmacéutica?, ¿Cuáles son las razones de ese comportamiento?” - Se han realizado 3 visitas de asesoría presencial y 2 virtuales. Hasta el momento se han diligenciado hasta la bitácora 7 - 87,5%
4. SONAE - ¿CUÁLES SON LAS ESPECIES DE PLANTAS DE USO COMESTIBLES EN EL CASCO URBANO, ASÍ COMO EN LAS VEREDAS PUEBLO VIEJO, LLANITOS Y BUENOS AIRES DEL MUNICIPIO ACEVEDO Y COMO SE ELABORAN LAS RECETAS GASTRONÓMICAS LOCALES A PARTIR DE ELLAS? - Se han realizado 3 visitas de asesoría presencial y 2 virtuales. Hasta el momento se han diligenciado hasta la bitácora 7 - 87,5%
5. PINVAMAC (PEQUEÑOS INVESTIGADORES AMBIENTALES DE ACEVEDO)  - ¿cuál es el estado actual en la que se encuentra la quebrada el cangrejo del municipio de Acevedo, Huila? - Se han realizado 3 visitas de asesoría presencial y 2 virtuales. Hasta el momento se han diligenciado hasta la bitácora 6 - 75%
6. REVERDESER - Qué viabilidad hay en la producción de abono orgánico con la pulpa de café en la institución educativa San Adolfo - Se han realizado 3 visitas de asesoría presencial y 2 virtuales. Hasta el momento se han diligenciado hasta la bitácora 7 - 87,5%
7. SEMILLAS DE INVESTIGACION -  ¿cuál es la onda de luz más benéfica para el crecimiento de semillas de frijol, maíz y arveja? - Se han realizado 3 visitas de asesoría presencial y 2 virtuales. Hasta el momento se han diligenciado hasta la bitácora 7 - 87,5%
8. VIGIAS AMBIENTALES ESCOLARES - "¿Cuales fuentes hídricas de la región han desaparecido y cuales han disminuido su caudal? ¿Cuáles han sido las causas  de la desaparición o disminución de caudales? ¿Qué acciones se pueden sugerir para  preservación?" - Se han realizado 3 visitas de asesoría presencial y 2 virtuales. Hasta el momento se han diligenciado hasta la bitácora 6 - 75%
9. LIBROS LIBRES - "¿Cómo lograr que los estudiantes de la zona rural de nuestro municipio puedan acceder a obras literarias de bajo costo y alta calidad sin violar derechos de autor?" - Se han realizado 3 visitas de asesoría presencial y 2 virtuales. Hasta el momento se han diligenciado hasta la bitácora 7 - 87,5%
10. LUPITOS - Cómo obtener gas natural a partir de los residuos orgánicos producidos en nuestra comunidad educativa? - Se han realizado 3 visitas de asesoría presencial y 2 virtuales. Hasta el momento se han diligenciado hasta la bitácora 7 - 87,5%
11. EN LA PREVENCIÓN DE LA DESERCIÓN ESCOLAR - Cuales son las causas que provocan la deserción escolar y que estrategias se pueden implementar para reducir la problemática teniendo en cuenta la taza presentada en el año 2016 en la Institución educativa Esteban Rojas Tovar del municipio de Tarqui Huila? - Se han realizado 3 visitas de asesoría presencial y 2 virtuales. Hasta el momento se han diligenciado hasta la bitácora 7 - 87,5%
12. CONECTATE CON EL INGLÉS "CONECTA2" - ¿Cuál es la mejor técnica para el aprendizaje de vocabulario básico en inglés para los estudiantes de la zona rural de la I.E San Isidro del municipio de Acevedo dentro y fuera del aula de clase? - Se han realizado 3 visitas de asesoría presencial y 2 virtuales. Hasta el momento se han diligenciado hasta la bitácora 6 - 75%
13. RECICLANDO SUEÑOS - "¿Qué estrategias implementar para que los niños y la comunidad educativa San Isidro adopten Como práctica cotidiana la selección de los residuos sólidos y fomento de una cultura ambiental de la mano de la comunidad y las autoridades ambientales del municipio desarrollando  la  Construcción de cultura ambiental y ciudadanía?" - Se han realizado 3 visitas de asesoría presencial y 2 virtuales. Hasta el momento se han diligenciado hasta la bitácora 7 - 87,5%
14. FUTURITOS AMIGOS DEL MEDIO AMBIENTE - CÓMO PODEMOS REUTILIZAR LOS RESIDUOS SÓLIDOS DE LA INSTITUCIÓN EDUCATIVA SAN JUAN BOSCO PARA MINIMIZAR LA CONTAMINACIÓN AMBIENTAL EN NUESTRA COMUNIDAD ESTUDIANTIL? - Se han realizado 3 visitas de asesoría presencial y 2 virtuales. Hasta el momento se han diligenciado hasta la bitácora 7 - 87,5%
15. CONQUISTADORES DEL ENTORNO - ¿Cómo está el entorno de la fuente termal y azufrada que desemboca en la quebrada del Chuyaco del municipio de Tarqui? ¿Cómo podemos preservar esta fuente? - Se han realizado 3 visitas de asesoría presencial y 2 virtuales. Hasta el momento se han diligenciado hasta la bitácora 7 - 87,5%
16. ELECTRÓN - ¿Cuáles plantas medicinales y para qué sintomatología podrían ser utilizadas en la comunidad educativa de la I.E. San Isidro? - Se han realizado 3 visitas de asesoría presencial y 2 virtuales. Hasta el momento se han diligenciado hasta la bitácora 7 - 87,5%
17. DEFENSORES DEL AGUA - En qué condiciones se encuentra el agua en los nacederos de las veredas Las Juntas, El Vergel, Alto Tablón, La Argentina y Esmeralda? Como cuidarlas? - Se han realizado 3 visitas de asesoría presencial y 2 virtuales. Hasta el momento se han diligenciado hasta la bitácora 7 - 87,5%
18. TEJIENDO PASOS - ¿Como el arte del tejido de la iraca desde el saber tradicional fortalece el patrimonio cultural y la educación propia de la comunidad educativa de la Institución Educativa la Unión del municipio de Suaza? - Se han realizado 3 visitas de asesoría presencial y 2 virtuales. Hasta el momento se han diligenciado hasta la bitácora 7 - 87,5%
19. CAFETERITOS INVESTIGADORES  - Cómo nace, crece y se produce el árbol de café - Se han realizado 3 visitas de asesoría presencial y 2 virtuales. Hasta el momento se han diligenciado hasta la bitácora 6 - 75%
20. AQUANIÑOS - ¿El árbol nacedero aumenta los caudales hídricos de la vereda las Brisas de San Isidro Acevedo Huila? - Se han realizado 3 visitas de asesoría presencial y 2 virtuales. Hasta el momento se han diligenciado hasta la bitácora 6 - 75%
21. ORALIDAD Y ESCRITURA: TEJIENDO IDENTIDAD A PARTIR DE NUESTRO PASADO - ¿Cómo nuestra memoria colectiva y el pasado, expresado en los  mitos y leyendas,  reafirma nuestra identidad huilense  y el amor por nuestra región? - Se han realizado 3 visitas de asesoría presencial y 2 virtuales. Hasta el momento se han diligenciado hasta la bitácora 6 - 75%
22. GREEN ENERGY ¿Cómo aprovechar la energía magnética para aplicarla en la vida cotidiana de los educandos de grado Séptimo de la Institución Educativa Marticas del municipio de Acevedo - Huila? - Se han realizado 3 visitas de asesoría presencial y 2 virtuales. Hasta el momento se han diligenciado hasta la bitácora 7 - 87,5%
23. ROBOTICS - ¿Cómo aplicar la robótica desde  el área de Ciencias Naturales en los niños de grado Cuarto de la Institución Educativa Marticas de Acevedo, Huila? - Se han realizado 3 visitas de asesoría presencial y 2 virtuales. Hasta el momento se han diligenciado hasta la bitácora 7 - 87,5%
24. LOS DRONS - ¿Cómo incentivar el interés por la robótica con recursos caseros en el grado Octavo de la Institución Educativa Marticas del municipio de Acevedo - Huila? - Se han realizado 3 visitas de asesoría presencial y 2 virtuales. Hasta el momento se han diligenciado hasta la bitácora 7 - 87,5%
25. LOS PRIME - ¿Cómo diseñar un sistema de transformación de la energía con recursos reciclables en el grado Quinto de la Institución Educativa Marticas del municipio de Acevedo - Huila? - Se han realizado 3 visitas de asesoría presencial y 2 virtuales. Hasta el momento se han diligenciado hasta la bitácora 7 - 87,5%
26. ECOCREADORES - ¿La fabricación de algunos útiles escolares con material casero y reciclado permitirá aumentar la eficiencia académica de los estudiantes de la I.E. Marticas del municipio de Acevedo? - Se han realizado 3 visitas de asesoría presencial y 2 virtuales. Hasta el momento se han diligenciado hasta la bitácora 7 - 87,5%
27. PEQUEGENIOS - Cuales son las fortalezas y debilidades de utilizar de algunas plantas medicinales en el control de los vectores (cucarachas) - Se han realizado 3 visitas de asesoría presencial y 2 virtuales. Hasta el momento se han diligenciado hasta la bitácora 6 - 75%
28. ESCRITORES DE LIBERTAD - ¿Cómo fortalecer la comunicación y la sana convivencia mediante la ejecución del periódico escolar virtual, estimulando la lectura y comprensión lectora en los estudiantes de los grados tercero, Cuarto y quinto de la Institución Educativa la Unión del municipio de Suaza Huila? - Se han realizado 3 visitas de asesoría presencial y 2 virtuales. Hasta el momento se han diligenciado hasta la bitácora 7 - 87,5%
29. ALIMENTANDO CON AMOR ATRAVES DE NUESTRA HISTORIA - Cual es la importancia del aprovechamiento y utilización de los productos tradicionales de la región de San José de Riecito en el municipio de Acevedo Huila? - Se han realizado 3 visitas de asesoría presencial y 2 virtuales. Hasta el momento se han diligenciado hasta la bitácora 7 - 87,5%
30. FAMILECTORES  - ¿Cuál es el nivel educativo y los hábitos lectores de los padres de familia y estudiantes de la sede principal de la institución educativa la Victoria y que estrategias se pueden implementar para mejorar la formación de hábitos de estudio? - Se han realizado 3 visitas de asesoría presencial y 2 virtuales. Hasta el momento se han diligenciado hasta la bitácora 7 - 87,5% 
31. GUARDIANES AMBIENTALES - ¿Cómo podemos mejorar nuestro entorno ambiental a través del trabajo en equipo con los miembros de la comunidad de la Institución Educativa La Victoria? - Se han realizado 3 visitas de asesoría presencial y 2 virtuales. Hasta el momento se han diligenciado hasta la bitácora 7 - 87,5% 
32. ABONOR - Como Fortalecer procesos de certificación en la producción de abonos orgánicos para implementar la agricultura limpia. - Se han realizado 3 visitas de asesoría presencial y 2 virtuales. Hasta el momento se han diligenciado hasta la bitácora 6 - 75%
33. COMIENDO ME NUTRO Y APRENDO - ¿Cómo crear buenos hábitos alimenticios en los 23 Estudiantes  de la sede Paraíso de la I.E. La Bernarda del municipio de Guadalupe - Huila? - Se han realizado 3 visitas de asesoría presencial y 2 virtuales. Hasta el momento se han diligenciado hasta la bitácora 6 - 75% 
34. EN LA ONDA DEL RECICLAJE - ¿Históricamente cuáles han sido las prácticas más usuales en la disposición final de los residuos orgánicos e inorgánicos? ¿Cuáles considera como buenas prácticas en esta materia que puedan ser tenidas en cuenta en la cultura ciudadana ambiental? - Se han realizado 3 visitas de asesoría presencial y 2 virtuales. Hasta el momento se han diligenciado hasta la bitácora 6 – 75%
35. LOS AGENTES DEL AMBIENTE - ¿Cómo podemos disminuir la contaminación del medio ambiental a través de la utilización de los desechos que se producen a la hora del procesamiento del café en la I. E. Bateas Sede El Encanto? - Se han realizado 3 visitas de asesoría presencial y 2 virtuales. Hasta el momento se han diligenciado hasta la bitácora 7 - 87,5%
36. LOS AMIGOS DE LA TIERRA - ¿Cómo disponer y aprovechar de forma adecuada los residuos sólidos orgánicos e inorgánicos generados en la sede Aguas Claras de la IE San Adolfo del municipio de Acevedo? - Se han realizado 3 visitas de asesoría presencial y 2 virtuales. Hasta el momento se han diligenciado hasta la bitácora 6 – 75%
37. LOS ECOLOGISTAS DEL FUTURO. - ¿Por qué a los niños y niñas de la Sede Sartenejal, les cuesta trabajo reciclar? - Se han realizado 3 visitas de asesoría presencial y 2 virtuales. Hasta el momento se han diligenciado hasta la bitácora 7 - 87,5%
38. SEMILLAS DE AMOR - ¿Cuál es la incidencia que tiene la huerta escolar en la construcción de aprendizajes significativos, desde la interdisciplinariedad en los niños y niñas de la Institución Educativa José Acevedo y Gómez – Sede El Mirador? - Se han realizado 3 visitas de asesoría presencial y 2 virtuales. Hasta el momento se han diligenciado hasta la bitácora 6 – 75%
39. EUREKA - ¿Por qué los habitantes de la vereda El Carmen no protegen la quebrada Toguache, siendo ésta su única fuente hídrica? ¿Qué acciones podemos realizar para recuperarla? - Se han realizado 3 visitas de asesoría presencial y 2 virtuales. Hasta el momento se han diligenciado hasta la bitácora 7 - 87,5%</v>
      </c>
    </row>
    <row r="41" spans="1:50" ht="37.5" customHeight="1" x14ac:dyDescent="0.25">
      <c r="A41" s="594"/>
      <c r="B41" s="610"/>
      <c r="C41" s="26" t="str">
        <f>Asignación!A35</f>
        <v>SI-PY2.5</v>
      </c>
      <c r="D41" s="258" t="str">
        <f>Asignación!B35</f>
        <v>Apoyo a la formulación, ejecución y divulgación de eventos académicos.</v>
      </c>
      <c r="E41" s="26">
        <f>Asignación!C35</f>
        <v>410</v>
      </c>
      <c r="F41" s="4" t="s">
        <v>119</v>
      </c>
      <c r="G41" s="94">
        <f>'S. INVESTIGACIÓN'!G14</f>
        <v>3</v>
      </c>
      <c r="H41" s="5" t="str">
        <f>'S. INVESTIGACIÓN'!H14</f>
        <v>EVENTOS</v>
      </c>
      <c r="I41" s="5">
        <f>Asignación!K35</f>
        <v>50000000</v>
      </c>
      <c r="J41" s="5">
        <f>'S. INVESTIGACIÓN'!J14</f>
        <v>10000000</v>
      </c>
      <c r="K41" s="5">
        <f t="shared" si="17"/>
        <v>40000000</v>
      </c>
      <c r="L41" s="94">
        <f>'S. INVESTIGACIÓN'!L14</f>
        <v>0</v>
      </c>
      <c r="M41" s="94">
        <f>'S. INVESTIGACIÓN'!M14</f>
        <v>0</v>
      </c>
      <c r="N41" s="94">
        <f>'S. INVESTIGACIÓN'!N14</f>
        <v>0</v>
      </c>
      <c r="O41" s="94">
        <f>'S. INVESTIGACIÓN'!O14</f>
        <v>0</v>
      </c>
      <c r="P41" s="94">
        <f>'S. INVESTIGACIÓN'!P14</f>
        <v>0</v>
      </c>
      <c r="Q41" s="94">
        <f>'S. INVESTIGACIÓN'!Q14</f>
        <v>0</v>
      </c>
      <c r="R41" s="94">
        <f>'S. INVESTIGACIÓN'!R14</f>
        <v>0</v>
      </c>
      <c r="S41" s="267">
        <f t="shared" si="1"/>
        <v>0.2</v>
      </c>
      <c r="T41" s="267">
        <f t="shared" si="18"/>
        <v>0</v>
      </c>
      <c r="U41" s="267">
        <f t="shared" si="14"/>
        <v>0.1</v>
      </c>
      <c r="V41" s="22" t="str">
        <f>'S. INVESTIGACIÓN'!V14</f>
        <v>NO SE HA EJECUTADO EN ESTE TRIMESTRE</v>
      </c>
      <c r="W41" s="5">
        <f>'S. INVESTIGACIÓN'!W14</f>
        <v>50000000</v>
      </c>
      <c r="X41" s="5">
        <f>'S. INVESTIGACIÓN'!X14</f>
        <v>44958045</v>
      </c>
      <c r="Y41" s="5">
        <f t="shared" si="19"/>
        <v>5041955</v>
      </c>
      <c r="Z41" s="94">
        <f>'S. INVESTIGACIÓN'!Z14</f>
        <v>3</v>
      </c>
      <c r="AA41" s="99">
        <f>'S. INVESTIGACIÓN'!AA14</f>
        <v>1</v>
      </c>
      <c r="AB41" s="94">
        <f>'S. INVESTIGACIÓN'!AB14</f>
        <v>3</v>
      </c>
      <c r="AC41" s="99">
        <f>'S. INVESTIGACIÓN'!AC14</f>
        <v>1</v>
      </c>
      <c r="AD41" s="94">
        <f>'S. INVESTIGACIÓN'!AD14</f>
        <v>0</v>
      </c>
      <c r="AE41" s="99">
        <f>'S. INVESTIGACIÓN'!AE14</f>
        <v>0</v>
      </c>
      <c r="AF41" s="94">
        <f>'S. INVESTIGACIÓN'!AF14</f>
        <v>6</v>
      </c>
      <c r="AG41" s="249">
        <f t="shared" si="4"/>
        <v>0.89916090000000004</v>
      </c>
      <c r="AH41" s="249">
        <f t="shared" si="20"/>
        <v>2</v>
      </c>
      <c r="AI41" s="249">
        <f t="shared" si="6"/>
        <v>1.44958045</v>
      </c>
      <c r="AJ41" s="22" t="str">
        <f>'S. INVESTIGACIÓN'!AJ14</f>
        <v>Se apoyó a la formulación, ejecución y divulgación de los siguientes (6) eventos académicos, en donde se realizó al menos una (1) ponencia por evento:
1 - II CONGRESO IBEROAMERICANO DE INVESTIGACIÓN SOBRE LA MIPYME Que se llevará a cabo en San José- Costa Rica: ORDEN ADMINISTRATIVA No. 033, ORDEN ADMINISTRATIVA No. 032, AVANCE 060
2 - PRIMER SEMINARIO DEL POSDOCTORADO EN CIENCIAS SOCIALES, NIÑEZ Y JUVENTUD que se llevará a cabo en SAO PABLO -BRASIL: AVANCE 059
3 - IV CONGRESO INTERNACIONAL IBEROAMERICANO DE ENFERMERIA 2017 A REALIZARSE EN LA CIUDAD DE CANCUN (MEXICO): AVANCE 075, AVANCE 076
4 - primer encuentro nacional de la red de lenguaje y pedagogía "INTERCHANGING VIEWS ON BILINGUAL EDUCATION": ORDEN ADMINISTRATIVA No. 039
5 - V Congreso Internacional de la Asociación para la Formación, Investigación y Desarrollo del Emprendimiento AFIDE 2017, SE LLEVARA A CABO EN LA CIUDAD DE PANAMA, EN LA UNIVERSIDAD CATOLICA SANTA MARIA LA ANTIGUA.: AVANCE 077
6 - Congreso del Consejo Internacional de Enfermeras (CIE): "Las enfermeras a la vanguardia, mejorando los cuidados",  EN BARCELONA ESPAÑA: AVANCE 079</v>
      </c>
      <c r="AK41" s="5">
        <f>'S. INVESTIGACIÓN'!AK14</f>
        <v>50000000</v>
      </c>
      <c r="AL41" s="5">
        <f>'S. INVESTIGACIÓN'!AL14</f>
        <v>44958045</v>
      </c>
      <c r="AM41" s="5">
        <f>'S. INVESTIGACIÓN'!AM14</f>
        <v>5041955</v>
      </c>
      <c r="AN41" s="5">
        <f>'S. INVESTIGACIÓN'!AN14</f>
        <v>1</v>
      </c>
      <c r="AO41" s="99">
        <f>'S. INVESTIGACIÓN'!AO14</f>
        <v>0.33333333333333331</v>
      </c>
      <c r="AP41" s="94">
        <f>'S. INVESTIGACIÓN'!AP14</f>
        <v>0</v>
      </c>
      <c r="AQ41" s="99">
        <f>'S. INVESTIGACIÓN'!AQ14</f>
        <v>0</v>
      </c>
      <c r="AR41" s="94">
        <f>'S. INVESTIGACIÓN'!AR14</f>
        <v>0</v>
      </c>
      <c r="AS41" s="99">
        <f>'S. INVESTIGACIÓN'!AS14</f>
        <v>0</v>
      </c>
      <c r="AT41" s="94">
        <f>'S. INVESTIGACIÓN'!AT14</f>
        <v>1</v>
      </c>
      <c r="AU41" s="363">
        <f t="shared" si="15"/>
        <v>0.89916090000000004</v>
      </c>
      <c r="AV41" s="363">
        <f t="shared" si="21"/>
        <v>0.33333333333333331</v>
      </c>
      <c r="AW41" s="363">
        <f t="shared" si="16"/>
        <v>0.61624711666666665</v>
      </c>
      <c r="AX41" s="22" t="str">
        <f>'S. INVESTIGACIÓN'!AX14</f>
        <v>1 - DESARROLLO DEL CURSO DE DERECHOS FUNDAMENTALES Y GLOBALIZACIÓN EN LA ESCUELA COMPLUTENSE DE VERANO DE LA UNIVERSIDAD COMPLUTENSE DE MADRID-ESPAÑA: AVANCE 123</v>
      </c>
    </row>
    <row r="42" spans="1:50" ht="33.75" customHeight="1" x14ac:dyDescent="0.25">
      <c r="A42" s="594"/>
      <c r="B42" s="610"/>
      <c r="C42" s="26" t="str">
        <f>Asignación!A36</f>
        <v>SI-PY2.6</v>
      </c>
      <c r="D42" s="258" t="str">
        <f>Asignación!B36</f>
        <v>Apoyo a docentes para  realizar ponencias en eventos nacionales e internacionales.</v>
      </c>
      <c r="E42" s="26">
        <f>Asignación!C36</f>
        <v>410</v>
      </c>
      <c r="F42" s="4" t="s">
        <v>123</v>
      </c>
      <c r="G42" s="94">
        <f>'S. INVESTIGACIÓN'!G15</f>
        <v>16</v>
      </c>
      <c r="H42" s="5" t="str">
        <f>'S. INVESTIGACIÓN'!H15</f>
        <v>PARTICIPACIÓN EN EVENTOS INVESTIGATIVOS</v>
      </c>
      <c r="I42" s="5">
        <f>Asignación!K36</f>
        <v>50000000</v>
      </c>
      <c r="J42" s="5">
        <f>'S. INVESTIGACIÓN'!J15</f>
        <v>0</v>
      </c>
      <c r="K42" s="5">
        <f t="shared" si="17"/>
        <v>50000000</v>
      </c>
      <c r="L42" s="94">
        <f>'S. INVESTIGACIÓN'!L15</f>
        <v>0</v>
      </c>
      <c r="M42" s="94">
        <f>'S. INVESTIGACIÓN'!M15</f>
        <v>0</v>
      </c>
      <c r="N42" s="94">
        <f>'S. INVESTIGACIÓN'!N15</f>
        <v>0</v>
      </c>
      <c r="O42" s="94">
        <f>'S. INVESTIGACIÓN'!O15</f>
        <v>0</v>
      </c>
      <c r="P42" s="94">
        <f>'S. INVESTIGACIÓN'!P15</f>
        <v>0</v>
      </c>
      <c r="Q42" s="94">
        <f>'S. INVESTIGACIÓN'!Q15</f>
        <v>0</v>
      </c>
      <c r="R42" s="94">
        <f>'S. INVESTIGACIÓN'!R15</f>
        <v>0</v>
      </c>
      <c r="S42" s="267">
        <f t="shared" si="1"/>
        <v>0</v>
      </c>
      <c r="T42" s="267">
        <f t="shared" si="18"/>
        <v>0</v>
      </c>
      <c r="U42" s="267">
        <f t="shared" si="14"/>
        <v>0</v>
      </c>
      <c r="V42" s="22" t="str">
        <f>'S. INVESTIGACIÓN'!V15</f>
        <v>NO SE HA EJECUTADO EN ESTE TRIMESTRE</v>
      </c>
      <c r="W42" s="5">
        <f>'S. INVESTIGACIÓN'!W15</f>
        <v>55000000</v>
      </c>
      <c r="X42" s="5">
        <f>'S. INVESTIGACIÓN'!X15</f>
        <v>31686000</v>
      </c>
      <c r="Y42" s="5">
        <f t="shared" si="19"/>
        <v>23314000</v>
      </c>
      <c r="Z42" s="94">
        <f>'S. INVESTIGACIÓN'!Z15</f>
        <v>5</v>
      </c>
      <c r="AA42" s="99">
        <f>'S. INVESTIGACIÓN'!AA15</f>
        <v>0.3125</v>
      </c>
      <c r="AB42" s="94">
        <f>'S. INVESTIGACIÓN'!AB15</f>
        <v>1</v>
      </c>
      <c r="AC42" s="99">
        <f>'S. INVESTIGACIÓN'!AC15</f>
        <v>6.25E-2</v>
      </c>
      <c r="AD42" s="94">
        <f>'S. INVESTIGACIÓN'!AD15</f>
        <v>2</v>
      </c>
      <c r="AE42" s="99">
        <f>'S. INVESTIGACIÓN'!AE15</f>
        <v>0.125</v>
      </c>
      <c r="AF42" s="94">
        <f>'S. INVESTIGACIÓN'!AF15</f>
        <v>8</v>
      </c>
      <c r="AG42" s="249">
        <f t="shared" si="4"/>
        <v>0.5761090909090909</v>
      </c>
      <c r="AH42" s="249">
        <f t="shared" si="20"/>
        <v>0.5</v>
      </c>
      <c r="AI42" s="249">
        <f t="shared" si="6"/>
        <v>0.53805454545454545</v>
      </c>
      <c r="AJ42" s="22" t="str">
        <f>'S. INVESTIGACIÓN'!AJ15</f>
        <v>Se apoyó a docentes para realizar ponencias en eventos nacionales e internacionales.
1 - Evento:  Conferencia  de la ASOCIACIÓN COLOMBIANA DE FACULTADES DE ADMINISTRACIÓN (ASCOLFA) que se realizará en Neiva – Colombia - Ponencia: “MEDICIÓN DEL IMPACTO DEL TRATADO DE LIBRE COMERCIO CON ESTADOS UNIDOS: EL CASO DEL DEPARTAMENTO DEL HUILA 2009-2015”: ORDEN ADMINISTRATIVA No. 046, ORDEN ADMINISTRATIVA No. 047
2 - Evento:  Conferencia  de la ASOCIACIÓN COLOMBIANA DE FACULTADES DE ADMINISTRACIÓN (ASCOLFA) que se realizará en Neiva – Colombia - Ponencia: ALTERNATIVAS QUE AYUDEN A SUSTITUIR EL USO DE EMPAQUES NO BIODEGRADABLES DURANTE LAS LABORES DE TRANSPLANTE DEL CAFÉ EN EL MUNICIPIO DE RIVERA”: ORDEN ADMINISTRATIVA No. 042
3 - Evento:  Conferencia  de la ASOCIACIÓN COLOMBIANA DE FACULTADES DE ADMINISTRACIÓN (ASCOLFA) que se realizará en Neiva – Colombia - Ponencia: “POLÍTICA PUBLICA DE COMPETITIVIDAD EN EL DEPARTAMENTO DEL HUILA”: ORDEN ADMINISTRATIVA No. 045
4 - Evento:  Conferencia  de la ASOCIACIÓN COLOMBIANA DE FACULTADES DE ADMINISTRACIÓN (ASCOLFA) que se realizará en Neiva – Colombia - Ponencia: “HABILIDADES GERENCIALES APLICADAS EN LOS ESTABLECIMIENTOS DE PRODUCCIÓN Y/O VENTA DE COMIDAS RAPIDAS EN EL MUNICIPIO DE NEIVA”: ORDEN ADMINISTRATIVA No. 044
5 - Evento: Conferencia  de la ASOCIACIÓN COLOMBIANA DE FACULTADES DE ADMINISTRACIÓN (ASCOLFA) que se realizará en Neiva – Colombia - Ponencia: “PETROLEO: POBREZA O RIQUEZA EN EL DEPARTAMENTO DEL HUILA (1990-2010)”: ORDEN ADMINISTRATIVA No. 048
6 - Evento: V Congreso Internacional de la Asociación para la Formación, Investigación y Desarrollo del Emprendimiento AFIDE 2017 QUE SE LLEVARA A CABO EN LA CIUDAD DE PANAMA, EN LA UNIVERSIDAD CATOLICA SANTA MARIA LA ANTIGUA - Ponencia: "EMPRENDIMIENTOS CULTURALES EN COLOMBIA-CASO DEPARTAMENTO DEL HUILA": ORDEN ADMINISTRATIVA No. 052
7 - Evento: XIV FORO INTERNACIONAL SOBRE EVALUACIÓN DE LA CALIDAD DE LA INVESTIGACIÓN Y DE LA EDUCACION SUPERIOR (FACIES) A REALIZARSE EN GRANADA ESPAÑA - Ponencia: "POLITICA INTERNACIONAL DE GOBIERNO ABIERTO, DESARROLLO Y SU AVANCE EN GOBIERNOS LOCALES DEL DEPARTAMENTO DEL HUILA-COLOMBIA": AVANCE 119
8 - Evento: XIV FORO INTERNACIONAL SOBRE EVALUACIÓN DE LA CALIDAD DE LA INVESTIGACIÓN Y DE LA EDUCACION SUPERIOR (FACIES) A REALIZARSE EN GRANADA ESPAÑA - Ponencia: "PROSPECTIVA DE LAS RELACIONES DE LA UNIVERSIDAD SURCOLOMBIANA CON EL ASIA PACIFICO" Y "APROXIMACIÓN ACADEMICA Y VALORATIVA A LA HISTORIA AMBIENTAL DE NEIVA": AVANCE 120
9 - Evento: ASCOLFA 2017 - INNOVACIÓN Y TRANSFORMACIÓN...: AVANCE DE LA SOLICITUD 04 No. 17000686 EXCD. FEA.
10 - PONENCIA - PROSPECTIVAS.... AVANCE DE LA SOLICITUD 04 No. 17001107 EXCD. FEA.
11 - PONENCIA - POLÍTICA INTERN.... AVANCE DE LA SOLICITUD 04 No. 17001109 EXCD. FEA.</v>
      </c>
      <c r="AK42" s="5">
        <f>'S. INVESTIGACIÓN'!AK15</f>
        <v>55000000</v>
      </c>
      <c r="AL42" s="5">
        <f>'S. INVESTIGACIÓN'!AL15</f>
        <v>43725387</v>
      </c>
      <c r="AM42" s="5">
        <f>'S. INVESTIGACIÓN'!AM15</f>
        <v>11274613</v>
      </c>
      <c r="AN42" s="5">
        <f>'S. INVESTIGACIÓN'!AN15</f>
        <v>0</v>
      </c>
      <c r="AO42" s="99">
        <f>'S. INVESTIGACIÓN'!AO15</f>
        <v>0</v>
      </c>
      <c r="AP42" s="94">
        <f>'S. INVESTIGACIÓN'!AP15</f>
        <v>1</v>
      </c>
      <c r="AQ42" s="99">
        <f>'S. INVESTIGACIÓN'!AQ15</f>
        <v>6.25E-2</v>
      </c>
      <c r="AR42" s="94">
        <f>'S. INVESTIGACIÓN'!AR15</f>
        <v>3</v>
      </c>
      <c r="AS42" s="99">
        <f>'S. INVESTIGACIÓN'!AS15</f>
        <v>0.1875</v>
      </c>
      <c r="AT42" s="94">
        <f>'S. INVESTIGACIÓN'!AT15</f>
        <v>4</v>
      </c>
      <c r="AU42" s="363">
        <f t="shared" si="15"/>
        <v>0.79500703636363634</v>
      </c>
      <c r="AV42" s="363">
        <f t="shared" si="21"/>
        <v>0.25</v>
      </c>
      <c r="AW42" s="363">
        <f t="shared" si="16"/>
        <v>0.52250351818181817</v>
      </c>
      <c r="AX42" s="22" t="str">
        <f>'S. INVESTIGACIÓN'!AX15</f>
        <v>Se apoyó a docentes para realizar ponencias en eventos nacionales e internacionales.
1 - Evento:  XVI CONGRESO COLOMBIANO DE GEOLOGIA que se realizará en SANTA MARTA – Colombia - Ponencia: "CARACTERIZACIÓN GEOLOGICA Y DE FLUIDOS DE LOS INDICIOS SUPERFICIALES DE HIDROCARBUROS EN EL DEPARTAMENTO DEL HUILA": AVANCE 161
2 - Evento: III SIMPOSIO INTERNACIONAL EDUCACIÓN RIDECTEI, EDUCACIÓN, CIENCIA, TECNOLOGIA E INNOVACIÓN que se realizará en la Universidad de Guadalajara - Ponencia: "CARACTERIZACIÓN DEL MODELO EDUCATIVO DE PREESCOLAR Y BASICA PRIMARIA RURAL DEL MUNICIPIO DE NEIVA": AVANCE 193, AVANCE 195
3 - Evento: WORKSHOP que se realizará en La Paz - Bolivia - Ponencia: IMPROVING RURAL LIVELIHOODS THROUGH PROMOTING HIGH-QUALITY COFFEE AND COFFEE CHERRY PRODUCTS IN THE ORIGIN COUNTRIES COLOMBIA AND BOLIVIA: AVANCE 210
4 - Evento: XV CONGRESO DE LA SOCIEDAD LATINOAMERICANA DE NEUROPSICOLOGIA que se realizará en Natal - Brasil - Ponencia: "EVALUACIÓN E INTERVENCIÓN NEUROCOGNITIVA EN NIÑOS CON DIFICULTADES COMPORTAMENTALES": AVANCE 222
5 - PONENCIA - "CONOCIMIENTO, ACTITUDES Y PRAC…. AVANCE DE LA SOLICITUD 04 No. 17001161 EXCD. FEA.</v>
      </c>
    </row>
    <row r="43" spans="1:50" ht="30.75" customHeight="1" x14ac:dyDescent="0.25">
      <c r="A43" s="594"/>
      <c r="B43" s="610"/>
      <c r="C43" s="26" t="str">
        <f>Asignación!A37</f>
        <v>SI-PY2.7</v>
      </c>
      <c r="D43" s="258" t="str">
        <f>Asignación!B37</f>
        <v>Consolidación de grupos de Investigación.</v>
      </c>
      <c r="E43" s="26">
        <f>Asignación!C37</f>
        <v>410</v>
      </c>
      <c r="F43" s="4" t="s">
        <v>96</v>
      </c>
      <c r="G43" s="94">
        <f>'S. INVESTIGACIÓN'!G16</f>
        <v>35</v>
      </c>
      <c r="H43" s="5" t="str">
        <f>'S. INVESTIGACIÓN'!H16</f>
        <v>GRUPOS DE INVESTIGACIÓN CATEGORIZADOS</v>
      </c>
      <c r="I43" s="5">
        <f>Asignación!K37</f>
        <v>90000000</v>
      </c>
      <c r="J43" s="5">
        <f>'S. INVESTIGACIÓN'!J16</f>
        <v>2000000</v>
      </c>
      <c r="K43" s="5">
        <f t="shared" si="17"/>
        <v>88000000</v>
      </c>
      <c r="L43" s="94">
        <f>'S. INVESTIGACIÓN'!L16</f>
        <v>0</v>
      </c>
      <c r="M43" s="94">
        <f>'S. INVESTIGACIÓN'!M16</f>
        <v>0</v>
      </c>
      <c r="N43" s="94">
        <f>'S. INVESTIGACIÓN'!N16</f>
        <v>1</v>
      </c>
      <c r="O43" s="94">
        <f>'S. INVESTIGACIÓN'!O16</f>
        <v>2.8571428571428571E-2</v>
      </c>
      <c r="P43" s="94">
        <f>'S. INVESTIGACIÓN'!P16</f>
        <v>0</v>
      </c>
      <c r="Q43" s="94">
        <f>'S. INVESTIGACIÓN'!Q16</f>
        <v>0</v>
      </c>
      <c r="R43" s="94">
        <f>'S. INVESTIGACIÓN'!R16</f>
        <v>1</v>
      </c>
      <c r="S43" s="267">
        <f t="shared" si="1"/>
        <v>2.2222222222222223E-2</v>
      </c>
      <c r="T43" s="267">
        <f t="shared" si="18"/>
        <v>2.8571428571428571E-2</v>
      </c>
      <c r="U43" s="267">
        <f t="shared" si="14"/>
        <v>2.5396825396825397E-2</v>
      </c>
      <c r="V43" s="22" t="str">
        <f>'S. INVESTIGACIÓN'!V16</f>
        <v>Consolidación de grupos de Investigación:
1 - FACULTAD DE CIENCIAS JURIDICA Y POLITICAS - NUEVAS VISIONES DEL DERECHO: AVANCE 014</v>
      </c>
      <c r="W43" s="5">
        <f>'S. INVESTIGACIÓN'!W16</f>
        <v>90000000</v>
      </c>
      <c r="X43" s="5">
        <f>'S. INVESTIGACIÓN'!X16</f>
        <v>12206598</v>
      </c>
      <c r="Y43" s="5">
        <f t="shared" si="19"/>
        <v>77793402</v>
      </c>
      <c r="Z43" s="94">
        <f>'S. INVESTIGACIÓN'!Z16</f>
        <v>0</v>
      </c>
      <c r="AA43" s="99">
        <f>'S. INVESTIGACIÓN'!AA16</f>
        <v>0</v>
      </c>
      <c r="AB43" s="94">
        <f>'S. INVESTIGACIÓN'!AB16</f>
        <v>2</v>
      </c>
      <c r="AC43" s="99">
        <f>'S. INVESTIGACIÓN'!AC16</f>
        <v>5.7142857142857141E-2</v>
      </c>
      <c r="AD43" s="94">
        <f>'S. INVESTIGACIÓN'!AD16</f>
        <v>1</v>
      </c>
      <c r="AE43" s="99">
        <f>'S. INVESTIGACIÓN'!AE16</f>
        <v>2.8571428571428571E-2</v>
      </c>
      <c r="AF43" s="94">
        <f>'S. INVESTIGACIÓN'!AF16</f>
        <v>3</v>
      </c>
      <c r="AG43" s="249">
        <f t="shared" si="4"/>
        <v>0.13562886666666665</v>
      </c>
      <c r="AH43" s="249">
        <f t="shared" si="20"/>
        <v>8.5714285714285715E-2</v>
      </c>
      <c r="AI43" s="249">
        <f t="shared" si="6"/>
        <v>0.11067157619047618</v>
      </c>
      <c r="AJ43" s="22" t="str">
        <f>'S. INVESTIGACIÓN'!AJ16</f>
        <v>Consolidación de grupos de Investigación:
1 - FACULTAD DE SALUD - DESARROLLO DE NEUROCIENCIAS EN PSICOLOGÍA - DNEUROPSY: CONTRATO VIPS 215-A2017
2 - FACULTAD DE SALUD - DESARROLLO SOCIAL, SALUD PÚBLICA Y DERECHOS HUMANOS: CONTRATO VIPS 140-A2017
3 - FACULTAD DE INGENIERIA - AGROINDUSTRIA USCO - CON JOVEN INVESTIGADOR: AVANCE 081</v>
      </c>
      <c r="AK43" s="5">
        <f>'S. INVESTIGACIÓN'!AK16</f>
        <v>90000000</v>
      </c>
      <c r="AL43" s="5">
        <f>'S. INVESTIGACIÓN'!AL16</f>
        <v>33896057</v>
      </c>
      <c r="AM43" s="5">
        <f>'S. INVESTIGACIÓN'!AM16</f>
        <v>56103943</v>
      </c>
      <c r="AN43" s="5">
        <f>'S. INVESTIGACIÓN'!AN16</f>
        <v>1</v>
      </c>
      <c r="AO43" s="99">
        <f>'S. INVESTIGACIÓN'!AO16</f>
        <v>2.8571428571428571E-2</v>
      </c>
      <c r="AP43" s="94">
        <f>'S. INVESTIGACIÓN'!AP16</f>
        <v>3</v>
      </c>
      <c r="AQ43" s="99">
        <f>'S. INVESTIGACIÓN'!AQ16</f>
        <v>8.5714285714285715E-2</v>
      </c>
      <c r="AR43" s="94">
        <f>'S. INVESTIGACIÓN'!AR16</f>
        <v>0</v>
      </c>
      <c r="AS43" s="99">
        <f>'S. INVESTIGACIÓN'!AS16</f>
        <v>0</v>
      </c>
      <c r="AT43" s="94">
        <f>'S. INVESTIGACIÓN'!AT16</f>
        <v>4</v>
      </c>
      <c r="AU43" s="363">
        <f t="shared" si="15"/>
        <v>0.37662285555555558</v>
      </c>
      <c r="AV43" s="363">
        <f t="shared" si="21"/>
        <v>0.11428571428571428</v>
      </c>
      <c r="AW43" s="363">
        <f t="shared" si="16"/>
        <v>0.24545428492063492</v>
      </c>
      <c r="AX43" s="22" t="str">
        <f>'S. INVESTIGACIÓN'!AX16</f>
        <v>Consolidación de grupos de Investigación:
1 - FACULTAD DE ECONOMÍA - CRE@: AVANCE 014: CONTRATO VIPS 242-B2017 
2 - FACULTAD DE INGENIERÍA - ECOSISTEMAS SURCOLOMBIANOS: CONTRATO VIPS 289-B2017
3 - FACULTAD DE SALUD - CARLOS FINLAY: CONTRATO VIPS 284-B2017
4 - FACULTAD DE ECONOMÍA - IGUAQUE: ORDEN ADMINISTRATIVA No. 073</v>
      </c>
    </row>
    <row r="44" spans="1:50" ht="38.25" customHeight="1" x14ac:dyDescent="0.25">
      <c r="A44" s="594"/>
      <c r="B44" s="610"/>
      <c r="C44" s="26" t="str">
        <f>Asignación!A38</f>
        <v>SI-PY2.8</v>
      </c>
      <c r="D44" s="258" t="str">
        <f>Asignación!B38</f>
        <v>Capacitación y participación de la Facultad de Ciencias Jurídicas y Políticas en eventos de formación.</v>
      </c>
      <c r="E44" s="26">
        <f>Asignación!C38</f>
        <v>410</v>
      </c>
      <c r="F44" s="4" t="s">
        <v>130</v>
      </c>
      <c r="G44" s="357">
        <f>'S. INVESTIGACIÓN'!G17</f>
        <v>1</v>
      </c>
      <c r="H44" s="5" t="str">
        <f>'S. INVESTIGACIÓN'!H17</f>
        <v>CAPACITACIÓN</v>
      </c>
      <c r="I44" s="5">
        <f>Asignación!K38</f>
        <v>8000000</v>
      </c>
      <c r="J44" s="5">
        <f>'S. INVESTIGACIÓN'!J17</f>
        <v>0</v>
      </c>
      <c r="K44" s="5">
        <f t="shared" si="17"/>
        <v>8000000</v>
      </c>
      <c r="L44" s="94">
        <f>'S. INVESTIGACIÓN'!L17</f>
        <v>0</v>
      </c>
      <c r="M44" s="94">
        <f>'S. INVESTIGACIÓN'!M17</f>
        <v>0</v>
      </c>
      <c r="N44" s="94">
        <f>'S. INVESTIGACIÓN'!N17</f>
        <v>0</v>
      </c>
      <c r="O44" s="94">
        <f>'S. INVESTIGACIÓN'!O17</f>
        <v>0</v>
      </c>
      <c r="P44" s="94">
        <f>'S. INVESTIGACIÓN'!P17</f>
        <v>0</v>
      </c>
      <c r="Q44" s="94">
        <f>'S. INVESTIGACIÓN'!Q17</f>
        <v>0</v>
      </c>
      <c r="R44" s="94">
        <f>'S. INVESTIGACIÓN'!R17</f>
        <v>0</v>
      </c>
      <c r="S44" s="267">
        <f t="shared" si="1"/>
        <v>0</v>
      </c>
      <c r="T44" s="267">
        <f t="shared" si="18"/>
        <v>0</v>
      </c>
      <c r="U44" s="267">
        <f t="shared" si="14"/>
        <v>0</v>
      </c>
      <c r="V44" s="22" t="str">
        <f>'S. INVESTIGACIÓN'!V17</f>
        <v>NO SE HA EJECUTADO EN ESTE TRIMESTRE</v>
      </c>
      <c r="W44" s="5">
        <f>'S. INVESTIGACIÓN'!W17</f>
        <v>8000000</v>
      </c>
      <c r="X44" s="5">
        <f>'S. INVESTIGACIÓN'!X17</f>
        <v>0</v>
      </c>
      <c r="Y44" s="5">
        <f t="shared" si="19"/>
        <v>8000000</v>
      </c>
      <c r="Z44" s="94">
        <f>'S. INVESTIGACIÓN'!Z17</f>
        <v>0</v>
      </c>
      <c r="AA44" s="99">
        <f>'S. INVESTIGACIÓN'!AA17</f>
        <v>0</v>
      </c>
      <c r="AB44" s="94">
        <f>'S. INVESTIGACIÓN'!AB17</f>
        <v>0</v>
      </c>
      <c r="AC44" s="99">
        <f>'S. INVESTIGACIÓN'!AC17</f>
        <v>0</v>
      </c>
      <c r="AD44" s="94">
        <f>'S. INVESTIGACIÓN'!AD17</f>
        <v>0</v>
      </c>
      <c r="AE44" s="99">
        <f>'S. INVESTIGACIÓN'!AE17</f>
        <v>0</v>
      </c>
      <c r="AF44" s="94">
        <f>'S. INVESTIGACIÓN'!AF17</f>
        <v>0</v>
      </c>
      <c r="AG44" s="249">
        <f t="shared" si="4"/>
        <v>0</v>
      </c>
      <c r="AH44" s="249">
        <f t="shared" si="20"/>
        <v>0</v>
      </c>
      <c r="AI44" s="249">
        <f t="shared" si="6"/>
        <v>0</v>
      </c>
      <c r="AJ44" s="22" t="str">
        <f>'S. INVESTIGACIÓN'!AJ17</f>
        <v>NO SE HA EJECUTADO EN ESTE TRIMESTRE</v>
      </c>
      <c r="AK44" s="5">
        <f>'S. INVESTIGACIÓN'!AK17</f>
        <v>8000000</v>
      </c>
      <c r="AL44" s="5">
        <f>'S. INVESTIGACIÓN'!AL17</f>
        <v>1835395</v>
      </c>
      <c r="AM44" s="5">
        <f>'S. INVESTIGACIÓN'!AM17</f>
        <v>6164605</v>
      </c>
      <c r="AN44" s="5">
        <f>'S. INVESTIGACIÓN'!AN17</f>
        <v>1</v>
      </c>
      <c r="AO44" s="99">
        <f>'S. INVESTIGACIÓN'!AO17</f>
        <v>1</v>
      </c>
      <c r="AP44" s="94">
        <f>'S. INVESTIGACIÓN'!AP17</f>
        <v>1</v>
      </c>
      <c r="AQ44" s="99">
        <f>'S. INVESTIGACIÓN'!AQ17</f>
        <v>1</v>
      </c>
      <c r="AR44" s="94">
        <f>'S. INVESTIGACIÓN'!AR17</f>
        <v>1</v>
      </c>
      <c r="AS44" s="99">
        <f>'S. INVESTIGACIÓN'!AS17</f>
        <v>1</v>
      </c>
      <c r="AT44" s="94">
        <f>'S. INVESTIGACIÓN'!AT17</f>
        <v>3</v>
      </c>
      <c r="AU44" s="363">
        <f t="shared" si="15"/>
        <v>0.22942437500000001</v>
      </c>
      <c r="AV44" s="363">
        <f t="shared" si="21"/>
        <v>3</v>
      </c>
      <c r="AW44" s="363">
        <f t="shared" si="16"/>
        <v>1.6147121874999999</v>
      </c>
      <c r="AX44" s="22" t="str">
        <f>'S. INVESTIGACIÓN'!AX17</f>
        <v>1 - PRESENTAR PONENCIA GRUPO CONCIENCIA JURÍDICA
2 - PARTICIPACIÓN EVENTO VII ENCUENTRO
3 - INSCRIPCIÓN DE ESTUDIANTE AL PROGRAMA DE DERECHO DE LA SEDE PITALITO AL…</v>
      </c>
    </row>
    <row r="45" spans="1:50" ht="57.75" customHeight="1" x14ac:dyDescent="0.25">
      <c r="A45" s="608"/>
      <c r="B45" s="610"/>
      <c r="C45" s="26" t="str">
        <f>Asignación!A39</f>
        <v>SI-PY2.9</v>
      </c>
      <c r="D45" s="258" t="str">
        <f>Asignación!B39</f>
        <v>Apoyo al desarrollo de los Doctorados: Agroindustria y Desarrollo Agricola Sostenible;  Educación y Cultura Ambiental; en Ciencias de la Salud.</v>
      </c>
      <c r="E45" s="26">
        <f>Asignación!C39</f>
        <v>410</v>
      </c>
      <c r="F45" s="4" t="s">
        <v>133</v>
      </c>
      <c r="G45" s="94">
        <f>'S. INVESTIGACIÓN'!G18</f>
        <v>3</v>
      </c>
      <c r="H45" s="5" t="str">
        <f>'S. INVESTIGACIÓN'!H18</f>
        <v>FINANCIACIÓN DE 3 PROGRAMAS DE DOCTORADO</v>
      </c>
      <c r="I45" s="5">
        <f>Asignación!K39</f>
        <v>215907499</v>
      </c>
      <c r="J45" s="5">
        <f>'S. INVESTIGACIÓN'!J18</f>
        <v>71376979</v>
      </c>
      <c r="K45" s="5">
        <f t="shared" si="17"/>
        <v>144530520</v>
      </c>
      <c r="L45" s="94">
        <f>'S. INVESTIGACIÓN'!L18</f>
        <v>1</v>
      </c>
      <c r="M45" s="94">
        <f>'S. INVESTIGACIÓN'!M18</f>
        <v>0.33333333333333331</v>
      </c>
      <c r="N45" s="94">
        <f>'S. INVESTIGACIÓN'!N18</f>
        <v>2</v>
      </c>
      <c r="O45" s="94">
        <f>'S. INVESTIGACIÓN'!O18</f>
        <v>0.66666666666666663</v>
      </c>
      <c r="P45" s="94">
        <f>'S. INVESTIGACIÓN'!P18</f>
        <v>0</v>
      </c>
      <c r="Q45" s="94">
        <f>'S. INVESTIGACIÓN'!Q18</f>
        <v>0</v>
      </c>
      <c r="R45" s="94">
        <f>'S. INVESTIGACIÓN'!R18</f>
        <v>3</v>
      </c>
      <c r="S45" s="267">
        <f t="shared" si="1"/>
        <v>0.3305905507246879</v>
      </c>
      <c r="T45" s="267">
        <f t="shared" si="18"/>
        <v>1</v>
      </c>
      <c r="U45" s="267">
        <f t="shared" si="14"/>
        <v>0.66529527536234401</v>
      </c>
      <c r="V45" s="22" t="str">
        <f>'S. INVESTIGACIÓN'!V18</f>
        <v>Se apoyo al desarrollo de 3 Doctorados:
1 - Agroindustria y Desarrollo Agricola Sostenible, CONTRATO CPS-136, AVANCE 018, CONTRATO VIPS 087-A2017, CONTRATO VIPS 096-A2017, RESOLUCIÓN 021, AVANCE 071, RESOLUCIÓN No. 033, RESOLUCIÓN No. 032, RESOLUCIÓN No. 035, RESOLUCIÓN No. 036, RESOLUCIÓN No. 034, CONTRATO VIPS 125-A2017, AVANCE 080
2 - Educación y Cultura Ambiental - CONTRATO VIPS 025-A2017, AVANCE 008, RESOLUCIÓN 008, RESOLUCIÓN 007, RESOLUCIÓN 012, RESOLUCIÓN 013, AVANCE 042, CONTRATO VIPS 092-A2017, RESOLUCION No. 042, AVANCE 095, CONTRATO VIPS 170-A2017
3 - Ciencias de la Salud - RESOLUCION NO. 001 ACTIVIDAD ACADEMICA REMUNERADA, AVANCE 009, RESOLUCION NO. 003 ACTIVIDAD ACADEMICA REMUNERADA, RESOLUCION NO. 005 ACTIVIDAD ACADEMICA REMUNERADA, RESOLUCION NO. 006 - ACTIVIDAD ACADEMICA REMUNERADA, RESOLUCION NO. 009 ACTIVIDAD ACADEMICA REMUNERADA, RESOLUCION NO. 010 ACTIVIDAD ACADEMICA REMUNERADA, RESOLUCIÓN No. 011, RESOLUCION No. 015, RESOLUCION No. 016, RESOLUCION No. 017, RESOLUCIÓN No. 022, RESOLUCIÓN No. 023, RESOLUCIÓN No. 024, RESOLUCIÓN No. 025, RESOLUCIÓN No. 026, RESOLUCIÓN No. 043, RESOLUCIÓN No. 044, RESOLUCIÓN No. 046, RESOLUCIÓN No. 053, AVANCE 100, RESOLUCIÓN No. 056</v>
      </c>
      <c r="W45" s="5">
        <f>'S. INVESTIGACIÓN'!W18</f>
        <v>319946741</v>
      </c>
      <c r="X45" s="5">
        <f>'S. INVESTIGACIÓN'!X18</f>
        <v>147368895</v>
      </c>
      <c r="Y45" s="5">
        <f t="shared" si="19"/>
        <v>172577846</v>
      </c>
      <c r="Z45" s="94">
        <f>'S. INVESTIGACIÓN'!Z18</f>
        <v>0</v>
      </c>
      <c r="AA45" s="99">
        <f>'S. INVESTIGACIÓN'!AA18</f>
        <v>0</v>
      </c>
      <c r="AB45" s="94">
        <f>'S. INVESTIGACIÓN'!AB18</f>
        <v>0</v>
      </c>
      <c r="AC45" s="99">
        <f>'S. INVESTIGACIÓN'!AC18</f>
        <v>0</v>
      </c>
      <c r="AD45" s="94">
        <f>'S. INVESTIGACIÓN'!AD18</f>
        <v>0</v>
      </c>
      <c r="AE45" s="99">
        <f>'S. INVESTIGACIÓN'!AE18</f>
        <v>0</v>
      </c>
      <c r="AF45" s="94">
        <f>'S. INVESTIGACIÓN'!AF18</f>
        <v>0</v>
      </c>
      <c r="AG45" s="249">
        <f t="shared" si="4"/>
        <v>0.46060445728997129</v>
      </c>
      <c r="AH45" s="249">
        <f t="shared" si="20"/>
        <v>0</v>
      </c>
      <c r="AI45" s="249">
        <f t="shared" si="6"/>
        <v>0.23030222864498565</v>
      </c>
      <c r="AJ45" s="22" t="str">
        <f>'S. INVESTIGACIÓN'!AJ18</f>
        <v>Ya se cumplió la meta y se continúa apoyando al desarrollo de los 3 Doctorados: 
1 - Agroindustria y Desarrollo Agricola Sostenible, 
2 - Educación y Cultura Ambiental
3 - Ciencias de la Salud</v>
      </c>
      <c r="AK45" s="5">
        <f>'S. INVESTIGACIÓN'!AK18</f>
        <v>319946741</v>
      </c>
      <c r="AL45" s="5">
        <f>'S. INVESTIGACIÓN'!AL18</f>
        <v>276018908</v>
      </c>
      <c r="AM45" s="5">
        <f>'S. INVESTIGACIÓN'!AM18</f>
        <v>43927833</v>
      </c>
      <c r="AN45" s="5">
        <f>'S. INVESTIGACIÓN'!AN18</f>
        <v>0</v>
      </c>
      <c r="AO45" s="99">
        <f>'S. INVESTIGACIÓN'!AO18</f>
        <v>0</v>
      </c>
      <c r="AP45" s="94">
        <f>'S. INVESTIGACIÓN'!AP18</f>
        <v>0</v>
      </c>
      <c r="AQ45" s="99">
        <f>'S. INVESTIGACIÓN'!AQ18</f>
        <v>0</v>
      </c>
      <c r="AR45" s="94">
        <f>'S. INVESTIGACIÓN'!AR18</f>
        <v>0</v>
      </c>
      <c r="AS45" s="99">
        <f>'S. INVESTIGACIÓN'!AS18</f>
        <v>0</v>
      </c>
      <c r="AT45" s="94">
        <f>'S. INVESTIGACIÓN'!AT18</f>
        <v>0</v>
      </c>
      <c r="AU45" s="363">
        <f t="shared" si="15"/>
        <v>0.86270267087983876</v>
      </c>
      <c r="AV45" s="363">
        <f t="shared" si="21"/>
        <v>0</v>
      </c>
      <c r="AW45" s="363">
        <f t="shared" si="16"/>
        <v>0.43135133543991938</v>
      </c>
      <c r="AX45" s="22" t="str">
        <f>'S. INVESTIGACIÓN'!AX18</f>
        <v>Ya se cumplió la meta y se continúa apoyando al desarrollo de los 3 Doctorados: 
1 - Agroindustria y Desarrollo Agricola Sostenible, 
2 - Educación y Cultura Ambiental
3 - Ciencias de la Salud</v>
      </c>
    </row>
    <row r="46" spans="1:50" ht="66" customHeight="1" x14ac:dyDescent="0.25">
      <c r="A46" s="611" t="s">
        <v>85</v>
      </c>
      <c r="B46" s="541" t="s">
        <v>135</v>
      </c>
      <c r="C46" s="23" t="str">
        <f>Asignación!A40</f>
        <v>SI-PY3.1</v>
      </c>
      <c r="D46" s="258" t="str">
        <f>Asignación!B40</f>
        <v>Financiación de proyectos de investigación en modalidad trabajos de grado.</v>
      </c>
      <c r="E46" s="23">
        <f>Asignación!C40</f>
        <v>410</v>
      </c>
      <c r="F46" s="4" t="s">
        <v>89</v>
      </c>
      <c r="G46" s="94">
        <f>'S. INVESTIGACIÓN'!G19</f>
        <v>30</v>
      </c>
      <c r="H46" s="5" t="str">
        <f>'S. INVESTIGACIÓN'!H19</f>
        <v>PROYECTOS</v>
      </c>
      <c r="I46" s="5">
        <f>Asignación!K40</f>
        <v>40000000</v>
      </c>
      <c r="J46" s="5">
        <f>'S. INVESTIGACIÓN'!J19</f>
        <v>854000</v>
      </c>
      <c r="K46" s="5">
        <f t="shared" si="17"/>
        <v>39146000</v>
      </c>
      <c r="L46" s="94">
        <f>'S. INVESTIGACIÓN'!L19</f>
        <v>0</v>
      </c>
      <c r="M46" s="94">
        <f>'S. INVESTIGACIÓN'!M19</f>
        <v>0</v>
      </c>
      <c r="N46" s="94">
        <f>'S. INVESTIGACIÓN'!N19</f>
        <v>0</v>
      </c>
      <c r="O46" s="94">
        <f>'S. INVESTIGACIÓN'!O19</f>
        <v>0</v>
      </c>
      <c r="P46" s="94">
        <f>'S. INVESTIGACIÓN'!P19</f>
        <v>1</v>
      </c>
      <c r="Q46" s="94">
        <f>'S. INVESTIGACIÓN'!Q19</f>
        <v>3.3333333333333333E-2</v>
      </c>
      <c r="R46" s="94">
        <f>'S. INVESTIGACIÓN'!R19</f>
        <v>1</v>
      </c>
      <c r="S46" s="267">
        <f t="shared" si="1"/>
        <v>2.1350000000000001E-2</v>
      </c>
      <c r="T46" s="267">
        <f t="shared" si="18"/>
        <v>3.3333333333333333E-2</v>
      </c>
      <c r="U46" s="267">
        <f t="shared" si="14"/>
        <v>2.7341666666666667E-2</v>
      </c>
      <c r="V46" s="22" t="str">
        <f>'S. INVESTIGACIÓN'!V19</f>
        <v>Se apoyó a la Financiación de 01 proyecto de investigación en modalidad trabajos de grado:
1 -  CAPACIDAD DE AUTOCUIDADO DE LAS PERSONAS CON INSUFICIENCIA RENAL CRÓNICA EN TERAPIA DE REMPLAZO RENAL, FLORENCIA 2017, AVANCE No. 049, CONTRATO VIPS 129-A2017, AVANCE 079</v>
      </c>
      <c r="W46" s="5">
        <f>'S. INVESTIGACIÓN'!W19</f>
        <v>52000000</v>
      </c>
      <c r="X46" s="5">
        <f>'S. INVESTIGACIÓN'!X19</f>
        <v>17727970</v>
      </c>
      <c r="Y46" s="5">
        <f t="shared" si="19"/>
        <v>34272030</v>
      </c>
      <c r="Z46" s="94">
        <f>'S. INVESTIGACIÓN'!Z19</f>
        <v>4</v>
      </c>
      <c r="AA46" s="99">
        <f>'S. INVESTIGACIÓN'!AA19</f>
        <v>0.13333333333333333</v>
      </c>
      <c r="AB46" s="94">
        <f>'S. INVESTIGACIÓN'!AB19</f>
        <v>1</v>
      </c>
      <c r="AC46" s="99">
        <f>'S. INVESTIGACIÓN'!AC19</f>
        <v>3.3333333333333333E-2</v>
      </c>
      <c r="AD46" s="94">
        <f>'S. INVESTIGACIÓN'!AD19</f>
        <v>0</v>
      </c>
      <c r="AE46" s="99">
        <f>'S. INVESTIGACIÓN'!AE19</f>
        <v>0</v>
      </c>
      <c r="AF46" s="94">
        <f>'S. INVESTIGACIÓN'!AF19</f>
        <v>5</v>
      </c>
      <c r="AG46" s="249">
        <f t="shared" si="4"/>
        <v>0.34092250000000002</v>
      </c>
      <c r="AH46" s="249">
        <f t="shared" si="20"/>
        <v>0.16666666666666666</v>
      </c>
      <c r="AI46" s="249">
        <f t="shared" si="6"/>
        <v>0.25379458333333332</v>
      </c>
      <c r="AJ46" s="22" t="str">
        <f>'S. INVESTIGACIÓN'!AJ19</f>
        <v>Se apoyó a la Financiación de 05 proyecto de investigación en modalidad trabajos de grado:
1 - ESTUDIO DE VIABILIDAD DE APERTURA DEL PROGRAMA DE MATEMATICA APLICADA DE LA UNIVERSIDAD SURCOLOMBIANA EN LA SEDE PITALITO: AVANCE 069, AVANCE 099
2 - IMAGINARIOS SOBRE LOS ACUERDO DE PAZ DE VÍCTIMAS DEL CONFLICTO ARMADO EN ZONAS RURALES Y URBANAS DE NEIVA 2016.: AVANCE 065, AVANCE 089
3 - GEOPOLÍTICA DE LAS EMOCIONES EN TRAMAS NARRATIVAS DE PAZ DE MAESTR@S DE LA INSTITUCION EDUCATIVA SALEN EN ISNOS HUILA : AVANCE 072
4 - RELACION ENTRE ACOSO ESCOLAR Y EL DESARROLLO DE FUNCIONES EJECUTIVAS EN NIÑOS DE BÁSICA PRIMARIA SEDES DE LA INSTITUCIÓN: AVANCE 067, AVANCE 090
5 - RELACIONES ENTRE ESCENARIOS Y PACTICAS DE PARTICIPACIÓN JUVENIL EN LA EDUCACION Y POLITICAS PUBLICAS JUVENILES EN PITALITO</v>
      </c>
      <c r="AK46" s="5">
        <f>'S. INVESTIGACIÓN'!AK19</f>
        <v>52000000</v>
      </c>
      <c r="AL46" s="5">
        <f>'S. INVESTIGACIÓN'!AL19</f>
        <v>39284471</v>
      </c>
      <c r="AM46" s="5">
        <f>'S. INVESTIGACIÓN'!AM19</f>
        <v>12715529</v>
      </c>
      <c r="AN46" s="5">
        <f>'S. INVESTIGACIÓN'!AN19</f>
        <v>0</v>
      </c>
      <c r="AO46" s="99">
        <f>'S. INVESTIGACIÓN'!AO19</f>
        <v>0</v>
      </c>
      <c r="AP46" s="94">
        <f>'S. INVESTIGACIÓN'!AP19</f>
        <v>5</v>
      </c>
      <c r="AQ46" s="99">
        <f>'S. INVESTIGACIÓN'!AQ19</f>
        <v>0.16666666666666666</v>
      </c>
      <c r="AR46" s="94">
        <f>'S. INVESTIGACIÓN'!AR19</f>
        <v>5</v>
      </c>
      <c r="AS46" s="99">
        <f>'S. INVESTIGACIÓN'!AS19</f>
        <v>0.16666666666666666</v>
      </c>
      <c r="AT46" s="94">
        <f>'S. INVESTIGACIÓN'!AT19</f>
        <v>10</v>
      </c>
      <c r="AU46" s="363">
        <f t="shared" si="15"/>
        <v>0.75547059615384615</v>
      </c>
      <c r="AV46" s="363">
        <f t="shared" si="21"/>
        <v>0.33333333333333331</v>
      </c>
      <c r="AW46" s="363">
        <f t="shared" si="16"/>
        <v>0.54440196474358971</v>
      </c>
      <c r="AX46" s="22" t="str">
        <f>'S. INVESTIGACIÓN'!AX19</f>
        <v>Se apoyó a la Financiación de 10 proyecto de investigación en modalidad trabajos de grado:
1 - DISEÑO E IMPLEMENTACION DE UN SISTEMA DE CONTROL DE NIVEL Y FLUJO DE TANQUES ACOPLADOS USANDO CONTROL MULTIVARIABLE POR METODOS CLASICOS: CONTRATO VIPS 278-B2017
2 - FACTORES QUE AFECTAN LA ADHERENCIA A LA REHABILITACIÓN CARDIOPULMONAR DE LOS PACIENTES ATENDIDOS EN LA UNIDAD CARDIOVASCULAR DEL HUHMP DURANTE EN EL SEGUNDO SEMESTRE DEL AÑO 2016.: AVANCE 160, ORDEN ADMINISTRATIVA No. 088
3 - INTERLEUQUINA (IL)-6: UTILIDAD EN LA APROXIMACIÓN DIAGNOSTICA DE SEPSIS NEONATAL: AVANCE 140
4 - NIVELES DE IL-17 EN LAVADO BRONCO ALVEOLAR DE PACIENTES CON SINTOMATOLOGÍA PULMONAR CRÓNICA Y SU ASOCIACIÓN CON: AVANCE 140
5 - TIEMPO LIBRE: UNA FUENTE DE VIDA EN LA EDUCACIÓN: RESOLUCIÓN No.061, ORDEN ADMINISTRATIVA No. 082, CONTRATO VIPS 291-B2017
6 - “GEOPOLÍTICA DE LAS EMOCIONES EN TRAMAS NARRATIVAS DE PAZ DE MAESTR@S DE LA INSTITUCION  EDUCATIVA SW BRUSELAS HUILA: AVANCE 190
7 - CÁLCULO DE LA REACTIVIDAD DETERMINÍSTICA EN REACTORES NUCLEARES : AVANCE 191
8 - CARACTERIZACIÓN DE VIOLENCIA HACIA LAS MUJERES EN LA RELACIÓN DE PAREJA EN LOS MUNICIPIOS DE ALGECIRAS Y LA PLATA: AVANCE 190
9 - ESTUDIO DE PROPIEDADES ELECTRÓNICAS DE LA CALCOPIRITA CU?IN?_(1-X) ?AL?_X ?TE?_2: AVANCE 188
10 - INFLUENCIA DE LOS MEDIOS MASIVOS DE INFORMACIÓN EN LA CONFIGURACIÓN DE IMAGINARIOS DE PAZ EN LA REGIÓN SURCOLOMBIANA: AVANCE 180</v>
      </c>
    </row>
    <row r="47" spans="1:50" ht="31.5" customHeight="1" x14ac:dyDescent="0.25">
      <c r="A47" s="611"/>
      <c r="B47" s="542"/>
      <c r="C47" s="23" t="str">
        <f>Asignación!A41</f>
        <v>SI-PY3.2</v>
      </c>
      <c r="D47" s="258" t="str">
        <f>Asignación!B41</f>
        <v>Financiación de proyectos ejecutados por semilleros de investigación.</v>
      </c>
      <c r="E47" s="23">
        <f>Asignación!C41</f>
        <v>410</v>
      </c>
      <c r="F47" s="4" t="s">
        <v>140</v>
      </c>
      <c r="G47" s="94">
        <f>'S. INVESTIGACIÓN'!G20</f>
        <v>30</v>
      </c>
      <c r="H47" s="5" t="str">
        <f>'S. INVESTIGACIÓN'!H20</f>
        <v>PROYECTOS</v>
      </c>
      <c r="I47" s="5">
        <f>Asignación!K41</f>
        <v>70000000</v>
      </c>
      <c r="J47" s="5">
        <f>'S. INVESTIGACIÓN'!J20</f>
        <v>0</v>
      </c>
      <c r="K47" s="5">
        <f t="shared" si="17"/>
        <v>70000000</v>
      </c>
      <c r="L47" s="94">
        <f>'S. INVESTIGACIÓN'!L20</f>
        <v>0</v>
      </c>
      <c r="M47" s="94">
        <f>'S. INVESTIGACIÓN'!M20</f>
        <v>0</v>
      </c>
      <c r="N47" s="94">
        <f>'S. INVESTIGACIÓN'!N20</f>
        <v>0</v>
      </c>
      <c r="O47" s="94">
        <f>'S. INVESTIGACIÓN'!O20</f>
        <v>0</v>
      </c>
      <c r="P47" s="94">
        <f>'S. INVESTIGACIÓN'!P20</f>
        <v>0</v>
      </c>
      <c r="Q47" s="94">
        <f>'S. INVESTIGACIÓN'!Q20</f>
        <v>0</v>
      </c>
      <c r="R47" s="94">
        <f>'S. INVESTIGACIÓN'!R20</f>
        <v>0</v>
      </c>
      <c r="S47" s="267">
        <f t="shared" si="1"/>
        <v>0</v>
      </c>
      <c r="T47" s="267">
        <f t="shared" si="18"/>
        <v>0</v>
      </c>
      <c r="U47" s="267">
        <f t="shared" si="14"/>
        <v>0</v>
      </c>
      <c r="V47" s="22" t="str">
        <f>'S. INVESTIGACIÓN'!V20</f>
        <v>NO SE HA EJECUTADO EN ESTE TRIMESTRE</v>
      </c>
      <c r="W47" s="5">
        <f>'S. INVESTIGACIÓN'!W20</f>
        <v>89000000</v>
      </c>
      <c r="X47" s="5">
        <f>'S. INVESTIGACIÓN'!X20</f>
        <v>28901534</v>
      </c>
      <c r="Y47" s="5">
        <f t="shared" si="19"/>
        <v>60098466</v>
      </c>
      <c r="Z47" s="94">
        <f>'S. INVESTIGACIÓN'!Z20</f>
        <v>2</v>
      </c>
      <c r="AA47" s="99">
        <f>'S. INVESTIGACIÓN'!AA20</f>
        <v>6.6666666666666666E-2</v>
      </c>
      <c r="AB47" s="94">
        <f>'S. INVESTIGACIÓN'!AB20</f>
        <v>8</v>
      </c>
      <c r="AC47" s="99">
        <f>'S. INVESTIGACIÓN'!AC20</f>
        <v>0.26666666666666666</v>
      </c>
      <c r="AD47" s="94">
        <f>'S. INVESTIGACIÓN'!AD20</f>
        <v>5</v>
      </c>
      <c r="AE47" s="99">
        <f>'S. INVESTIGACIÓN'!AE20</f>
        <v>0.16666666666666666</v>
      </c>
      <c r="AF47" s="94">
        <f>'S. INVESTIGACIÓN'!AF20</f>
        <v>15</v>
      </c>
      <c r="AG47" s="249">
        <f t="shared" si="4"/>
        <v>0.32473633707865168</v>
      </c>
      <c r="AH47" s="249">
        <f t="shared" si="20"/>
        <v>0.5</v>
      </c>
      <c r="AI47" s="249">
        <f t="shared" si="6"/>
        <v>0.41236816853932584</v>
      </c>
      <c r="AJ47" s="22" t="str">
        <f>'S. INVESTIGACIÓN'!AJ20</f>
        <v>Se apoyó con el financiación de 15 proyectos ejecutados por semilleros de investigación:
1 - PRESELECCION DE MERCADOS INTERNACIONALES PARA LOS CAFÉS ESPECIALES DEL DEPARTAMENTO DEL HUILA 2016: AVANCE 069, AVANCE 116
2 - DINÁMICAS TERRITORIALES QUE HAN INFLUIDO EN LA CONFORMACIÓN DEL ASENTAMIENTO ÁLVARO URIBE VÉLEZ EN LA CIUDAD DE NEIVA ENTRE 2002 Y 2016: AVANCE 113
3 - APRENDIENDO A ESTUDIAR LAS CLASES EN EL CLUB DE APOYO MATEMÁTICO DEL HUILA CAMATH: AVANCE 082
4 - PERSPECTIVAS DE CONSTRUCCIÓN DE PAZ EN EL ASENTAMIENTO PEÑÓN REDONDO- NEIVA 2016: AVANCE 113
5 - VIABILIDAD SOCIAL FINANCIERA Y DE CALIDAD PARA LA CREACION DE UN BANCO DE SEMEN Y EMBRIONES ENFOCADO A LOS PEQUEÑOS Y MEDIANOS GANADEROS DE LA REGIÓN SURCOLOMBIANA: ORDEN ADMINISTRATIVA 035, AVANCE 068, CONTRATO VIPS 225-A2017
6 - CARACTERIZACIÓN DE LOS PROCESOS COMUNICATIVOS QUE HAN IMPLEMENTADO LAS ORGANIZACIONES MAS REPRESENTATIVAS DE PITALITO, ANTE LA LLEGADA DE ORGANIZACIONES NACIONALES E INTERNACIONALES DESDE 1996 HASTA EL 2016: AVANCE 084
7 - CARACTERIZACIÓN CITOGENÉTICA DE SACCODON DARIENSIS DE LA PARTE ALTA DEL RIO MAGDALENA: AVANCE 083, CONTRATO VIPS 213-A2017
8 - TAREAS MATEMÁTICAS PARA EL DESARROLLO DE COMPETENCIAS MATEMÁTICAS EN ESTUDIANTES DE EDUCACIÓN BÁSICA SECUNDARIA Y MEDIA: AVANCE 103
9 - LA GARANTIA JUDICIAL DE LOS DERECHOS Y LIBERTADES FUNDAMENTALES EN AMÉRICA LATINA: ANÁLISIS DE LAS EXPERIENCIAS EN COLOMBIA, ECUADOR, PERÚ Y BOLIVIA: AVANCE 117
10 - INSOLVENCIA  DE PERSONA NATURAL NO COMERCIANTE: AVANCE 092
11 -  LA INTERPRETACIÓN JUDICIAL DE LAS ALTAS CORTES EN COLOMBIA (2010-2016): AVANCE 117, ORDENA ADMINISTRATIVA No. 058
12 - CONDICIONES Y PERSPECTIVAS COMUNITARIAS FRENTE A LA SEGURIDAD ALIMENTARIA Y NUTRICIONAL DEL RESGUARDO INDÍGENA TAMA – PÁEZ LA GABRIELA. 2017.: AVANCE 098
13 - DESARROLLO DEL CONCEPTO DE FAMILIA EN COLOMBIA Y SUS IMPLICACIONES JURÍDICAS, A TRAVÉS DE LA  URISPRUDENCIA DE LA CORTE CONSTITUCIONAL, LA CORTE SUPREMA DE JUSTICIA Y EL CONSEJO DE ESTADO DESDE 1991: AVANCE 117, ORDENA ADMINISTRATIVA No. 058
14 - NIÑOS, NIÑAS Y ADOLECENTES EN EL POSTCONFLICTO, UN ESTUDIO DESDE EL DERECHO COMPARADO: AVANCE 093
15 - CONTRATO DE APARCERÍA CON UNA ALTERNATIVA PARA EL SECTOR AGRICOLA EN COLOMBIA DEL POSCONFLICTO: AVANCE 094</v>
      </c>
      <c r="AK47" s="5">
        <f>'S. INVESTIGACIÓN'!AK20</f>
        <v>89000000</v>
      </c>
      <c r="AL47" s="5">
        <f>'S. INVESTIGACIÓN'!AL20</f>
        <v>44570581</v>
      </c>
      <c r="AM47" s="5">
        <f>'S. INVESTIGACIÓN'!AM20</f>
        <v>44429419</v>
      </c>
      <c r="AN47" s="5">
        <f>'S. INVESTIGACIÓN'!AN20</f>
        <v>0</v>
      </c>
      <c r="AO47" s="99">
        <f>'S. INVESTIGACIÓN'!AO20</f>
        <v>0</v>
      </c>
      <c r="AP47" s="94">
        <f>'S. INVESTIGACIÓN'!AP20</f>
        <v>9</v>
      </c>
      <c r="AQ47" s="99">
        <f>'S. INVESTIGACIÓN'!AQ20</f>
        <v>0.3</v>
      </c>
      <c r="AR47" s="94">
        <f>'S. INVESTIGACIÓN'!AR20</f>
        <v>0</v>
      </c>
      <c r="AS47" s="99">
        <f>'S. INVESTIGACIÓN'!AS20</f>
        <v>0</v>
      </c>
      <c r="AT47" s="94">
        <f>'S. INVESTIGACIÓN'!AT20</f>
        <v>9</v>
      </c>
      <c r="AU47" s="363">
        <f t="shared" si="15"/>
        <v>0.50079304494382026</v>
      </c>
      <c r="AV47" s="363">
        <f t="shared" si="21"/>
        <v>0.3</v>
      </c>
      <c r="AW47" s="363">
        <f t="shared" si="16"/>
        <v>0.40039652247191015</v>
      </c>
      <c r="AX47" s="22" t="str">
        <f>'S. INVESTIGACIÓN'!AX20</f>
        <v>Se apoyó con el financiación de 9 proyectos ejecutados por semilleros de investigación:
1 - SISTEMATIZACIÓN CAMPAÑA "PARA LA GUERRA NADA, PARA LA PAZ TODO": AVANCE 136
2 - FACTORES QUE INFLUYEN EN LA HOSPITALIZACIÓN Y EN LA ADHERENCIA AL TRATAMIENTO FARMACOLÓGICO Y NO FARMACOLÓGICO EN LOS PACIENTES CON HIPERTENSIÓN Y DIABETES MELLITUS.: AVANCE 160, AVANCE 218
3 - ASENTAMIENTOS INFORMALES Y DERECHO A LA CIUDAD. EL CASO DEL ASENTAMIENTO BRISAS DEL VENADO DE LA CIUDAD DE NEIVA.: AVANCE 185C
4 - ESTABLECIMIENTO DE LOS FACTORES QUE INCIDEN EN LA COMPETITIVIDAD DEL CULTIVO DE CAFÉ EN LAS FINCAS DE LA VEREDA ALTO ORIENTE DEL MUNICIPIO DE TELLO – HUILA.: AVANCE 154
5 - CALCULO DE LA REACTIVIDAD USANDO LA LEY DE BOOLE EN REACTORES NUCLEARES: AVANCE 142, AVANCE 191
6 - OPINIONES DE LOS ESTUDIANTES DE ENFERMERÍA SOBRE LA SENTENCIA C-355 DE 2006: AVANCE 148
7 - UNA MIRADA A LOS CONCEPTOS DE TIEMPO LIBRE, OCIO Y RECREACIÓN DE LOS ESTUDIANTES, DOCENTES Y ADMINISTRATIVOS DE LA FACULTAD: RESOLUCIÓN No.061, CONTRATO VIPS 287-B2017,  ORDEN ADMINISTRATIVA No. 082, CONTRATO VIPS 291-B2017
8 -  HABILIDADES GERENCIALES APLICADAS EN LOS ESTABLECIMIENTOS DE PRODUCCION Y/O VENTA DE COMIDAS RÁPIDAS EN EL MUNICIPIO DE NEIVA : AVANCE 155
9 - ACTUALIZACIÓN DE LOS CURRÍCULOS DE LOS PROGRAMAS DE CONTADURÍA PÚBLICA OFERTADOS EN NEIVA FRENTE A LA ENSEÑANZA DE LO INTERNACIONAL Y LA GLOBALIZACIÓN CONTABLE: AVANCE 173</v>
      </c>
    </row>
    <row r="48" spans="1:50" ht="30.75" customHeight="1" x14ac:dyDescent="0.25">
      <c r="A48" s="611"/>
      <c r="B48" s="542"/>
      <c r="C48" s="23" t="str">
        <f>Asignación!A42</f>
        <v>SI-PY3.3</v>
      </c>
      <c r="D48" s="258" t="str">
        <f>Asignación!B42</f>
        <v>Financiar la vinculación de  jóvenes investigadores.</v>
      </c>
      <c r="E48" s="23">
        <f>Asignación!C42</f>
        <v>410</v>
      </c>
      <c r="F48" s="4" t="s">
        <v>89</v>
      </c>
      <c r="G48" s="94">
        <f>'S. INVESTIGACIÓN'!G21</f>
        <v>8</v>
      </c>
      <c r="H48" s="5" t="str">
        <f>'S. INVESTIGACIÓN'!H21</f>
        <v>PERSONAS</v>
      </c>
      <c r="I48" s="5">
        <f>Asignación!K42</f>
        <v>80000000</v>
      </c>
      <c r="J48" s="5">
        <f>'S. INVESTIGACIÓN'!J21</f>
        <v>50637660</v>
      </c>
      <c r="K48" s="5">
        <f t="shared" si="17"/>
        <v>29362340</v>
      </c>
      <c r="L48" s="94">
        <f>'S. INVESTIGACIÓN'!L21</f>
        <v>5</v>
      </c>
      <c r="M48" s="94">
        <f>'S. INVESTIGACIÓN'!M21</f>
        <v>0.625</v>
      </c>
      <c r="N48" s="94">
        <f>'S. INVESTIGACIÓN'!N21</f>
        <v>2</v>
      </c>
      <c r="O48" s="94">
        <f>'S. INVESTIGACIÓN'!O21</f>
        <v>0.25</v>
      </c>
      <c r="P48" s="94">
        <f>'S. INVESTIGACIÓN'!P21</f>
        <v>5</v>
      </c>
      <c r="Q48" s="94">
        <f>'S. INVESTIGACIÓN'!Q21</f>
        <v>0.625</v>
      </c>
      <c r="R48" s="94">
        <f>'S. INVESTIGACIÓN'!R21</f>
        <v>12</v>
      </c>
      <c r="S48" s="267">
        <f t="shared" si="1"/>
        <v>0.63297075000000003</v>
      </c>
      <c r="T48" s="267">
        <f t="shared" si="18"/>
        <v>1.5</v>
      </c>
      <c r="U48" s="267">
        <f t="shared" si="14"/>
        <v>1.0664853750000001</v>
      </c>
      <c r="V48" s="22" t="str">
        <f>'S. INVESTIGACIÓN'!V21</f>
        <v>Se apoyó con la Financiación la vinculación de 12 jóvenes investigadores:
1 - CRISTIAN  FABIAN VILLANUEVA, CONTRATO VIPS 007-A2017
2- MARIA ALEJANDRA BERMEO LOSADA, CONTRATO VIPS 008-A2017
3 - LEIDY MARCELA CASTAÑO BAQUERO, CONTRATO VIPS 018-A2017
4 - LUISA FERNANDA MUÑOZ, CONTRATO VIPS 021-A2017
5 - DIANA MARCELA CELIS, CONTRATO VIPS 022-A2017
6 - ERIKA TATIANA CORTES MACIAS, CONTRATO VIPS 032-A2017
7 - MAYRA PATRICIA RODRÍGUEZ ESPINOSA, CONTRATO VIPS 071-A2017
8 - KARLA ALEXANDRA LOSADA BENAVIDES, CONTRATO VIPS 070-A2017
9 - JONATHAN ANDRÉS MOSQUERA, CONTRATO VIPS 035-A2017
10 - KAREN LORENA REYES VÉLEZ, VIPS 072-A2017
11 - ANGIELA CRISTINA ROMERO VARÓN, CONTRATO VIPS 066-A2017
12 - JUANITA PAOLA GUTIÉRREZ CUENCA, CONTRATO VIPS 068-A2017</v>
      </c>
      <c r="W48" s="5">
        <f>'S. INVESTIGACIÓN'!W21</f>
        <v>80000000</v>
      </c>
      <c r="X48" s="5">
        <f>'S. INVESTIGACIÓN'!X21</f>
        <v>61503458</v>
      </c>
      <c r="Y48" s="5">
        <f t="shared" si="19"/>
        <v>18496542</v>
      </c>
      <c r="Z48" s="94">
        <f>'S. INVESTIGACIÓN'!Z21</f>
        <v>0</v>
      </c>
      <c r="AA48" s="99">
        <f>'S. INVESTIGACIÓN'!AA21</f>
        <v>0</v>
      </c>
      <c r="AB48" s="94">
        <f>'S. INVESTIGACIÓN'!AB21</f>
        <v>0</v>
      </c>
      <c r="AC48" s="99">
        <f>'S. INVESTIGACIÓN'!AC21</f>
        <v>0</v>
      </c>
      <c r="AD48" s="94">
        <f>'S. INVESTIGACIÓN'!AD21</f>
        <v>2</v>
      </c>
      <c r="AE48" s="99">
        <f>'S. INVESTIGACIÓN'!AE21</f>
        <v>0.25</v>
      </c>
      <c r="AF48" s="94">
        <f>'S. INVESTIGACIÓN'!AF21</f>
        <v>2</v>
      </c>
      <c r="AG48" s="249">
        <f t="shared" si="4"/>
        <v>0.76879322500000002</v>
      </c>
      <c r="AH48" s="249">
        <f t="shared" si="20"/>
        <v>0.25</v>
      </c>
      <c r="AI48" s="249">
        <f t="shared" si="6"/>
        <v>0.50939661250000001</v>
      </c>
      <c r="AJ48" s="22" t="str">
        <f>'S. INVESTIGACIÓN'!AJ21</f>
        <v>Se apoyó con la Financiación la vinculación de 2 jóvenes investigadores:
1 - JUAN ESTEBAN LOZANO PLAZAS: CONTRATO VIPS 220-A2017
2 - MARIA ANGELICA SEGURA DURAN: CONTRATO VIPS 221-A2017</v>
      </c>
      <c r="AK48" s="5">
        <f>'S. INVESTIGACIÓN'!AK21</f>
        <v>80000000</v>
      </c>
      <c r="AL48" s="5">
        <f>'S. INVESTIGACIÓN'!AL21</f>
        <v>61503458</v>
      </c>
      <c r="AM48" s="5">
        <f>'S. INVESTIGACIÓN'!AM21</f>
        <v>18496542</v>
      </c>
      <c r="AN48" s="5">
        <f>'S. INVESTIGACIÓN'!AN21</f>
        <v>0</v>
      </c>
      <c r="AO48" s="99">
        <f>'S. INVESTIGACIÓN'!AO21</f>
        <v>0</v>
      </c>
      <c r="AP48" s="94">
        <f>'S. INVESTIGACIÓN'!AP21</f>
        <v>0</v>
      </c>
      <c r="AQ48" s="99">
        <f>'S. INVESTIGACIÓN'!AQ21</f>
        <v>0</v>
      </c>
      <c r="AR48" s="94">
        <f>'S. INVESTIGACIÓN'!AR21</f>
        <v>0</v>
      </c>
      <c r="AS48" s="99">
        <f>'S. INVESTIGACIÓN'!AS21</f>
        <v>0</v>
      </c>
      <c r="AT48" s="94">
        <f>'S. INVESTIGACIÓN'!AT21</f>
        <v>0</v>
      </c>
      <c r="AU48" s="363">
        <f t="shared" si="15"/>
        <v>0.76879322500000002</v>
      </c>
      <c r="AV48" s="363">
        <f t="shared" si="21"/>
        <v>0</v>
      </c>
      <c r="AW48" s="363">
        <f t="shared" si="16"/>
        <v>0.38439661250000001</v>
      </c>
      <c r="AX48" s="22" t="str">
        <f>'S. INVESTIGACIÓN'!AX21</f>
        <v>YA SE CUMPLIÓ LA META, SE VINCULARON 14 JÓVENES INVESTIGADORES</v>
      </c>
    </row>
    <row r="49" spans="1:50" ht="30.75" customHeight="1" x14ac:dyDescent="0.25">
      <c r="A49" s="611"/>
      <c r="B49" s="543"/>
      <c r="C49" s="23" t="str">
        <f>Asignación!A43</f>
        <v>SI-PY3.4</v>
      </c>
      <c r="D49" s="258" t="str">
        <f>Asignación!B43</f>
        <v>Capacitación y Desarrollo de talleres para la formación de la investigación.</v>
      </c>
      <c r="E49" s="23">
        <f>Asignación!C43</f>
        <v>410</v>
      </c>
      <c r="F49" s="81"/>
      <c r="G49" s="357">
        <f>'S. INVESTIGACIÓN'!G22</f>
        <v>2</v>
      </c>
      <c r="H49" s="5" t="str">
        <f>'S. INVESTIGACIÓN'!H22</f>
        <v>TALLERES</v>
      </c>
      <c r="I49" s="5">
        <f>Asignación!K43</f>
        <v>0</v>
      </c>
      <c r="J49" s="5">
        <f>'S. INVESTIGACIÓN'!J22</f>
        <v>0</v>
      </c>
      <c r="K49" s="5">
        <f t="shared" si="17"/>
        <v>0</v>
      </c>
      <c r="L49" s="94">
        <f>'S. INVESTIGACIÓN'!L22</f>
        <v>0</v>
      </c>
      <c r="M49" s="94">
        <f>'S. INVESTIGACIÓN'!M22</f>
        <v>0</v>
      </c>
      <c r="N49" s="94">
        <f>'S. INVESTIGACIÓN'!N22</f>
        <v>0</v>
      </c>
      <c r="O49" s="94">
        <f>'S. INVESTIGACIÓN'!O22</f>
        <v>0</v>
      </c>
      <c r="P49" s="94">
        <f>'S. INVESTIGACIÓN'!P22</f>
        <v>3</v>
      </c>
      <c r="Q49" s="94">
        <f>'S. INVESTIGACIÓN'!Q22</f>
        <v>1.5</v>
      </c>
      <c r="R49" s="94">
        <f>'S. INVESTIGACIÓN'!R22</f>
        <v>3</v>
      </c>
      <c r="S49" s="267">
        <f t="shared" si="1"/>
        <v>0</v>
      </c>
      <c r="T49" s="267">
        <f t="shared" si="18"/>
        <v>1.5</v>
      </c>
      <c r="U49" s="267">
        <f t="shared" si="14"/>
        <v>0.75</v>
      </c>
      <c r="V49" s="22" t="str">
        <f>'S. INVESTIGACIÓN'!V22</f>
        <v>Se apoyó a la capacitación y desarrollo de 3 talleres para la formulación de la investigación:
1 - Taller: La Carpintería de la Escritura para la Investigación Nivel I (GRUPO 1): RESOLUCIÓN 029, RESOLUCIÓN 030
2 - Taller: La Carpintería de la Escritura para la Investigación Nivel II (GRUPO 1): AVANCE No. 053, GIOVANNI USGAME ZUBIETA - RESOLUCION No. 019
3 - Taller básico de ortografía para la enseñanza (GRUPO 1): RESOLUCIÓN 028</v>
      </c>
      <c r="W49" s="5">
        <f>'S. INVESTIGACIÓN'!W22</f>
        <v>3000000</v>
      </c>
      <c r="X49" s="5">
        <f>'S. INVESTIGACIÓN'!X22</f>
        <v>0</v>
      </c>
      <c r="Y49" s="5">
        <f t="shared" si="19"/>
        <v>3000000</v>
      </c>
      <c r="Z49" s="94">
        <f>'S. INVESTIGACIÓN'!Z22</f>
        <v>0</v>
      </c>
      <c r="AA49" s="99">
        <f>'S. INVESTIGACIÓN'!AA22</f>
        <v>0</v>
      </c>
      <c r="AB49" s="94">
        <f>'S. INVESTIGACIÓN'!AB22</f>
        <v>0</v>
      </c>
      <c r="AC49" s="99">
        <f>'S. INVESTIGACIÓN'!AC22</f>
        <v>0</v>
      </c>
      <c r="AD49" s="94">
        <f>'S. INVESTIGACIÓN'!AD22</f>
        <v>0</v>
      </c>
      <c r="AE49" s="99">
        <f>'S. INVESTIGACIÓN'!AE22</f>
        <v>0</v>
      </c>
      <c r="AF49" s="94">
        <f>'S. INVESTIGACIÓN'!AF22</f>
        <v>0</v>
      </c>
      <c r="AG49" s="249">
        <f t="shared" si="4"/>
        <v>0</v>
      </c>
      <c r="AH49" s="249">
        <f t="shared" si="20"/>
        <v>0</v>
      </c>
      <c r="AI49" s="249">
        <f t="shared" si="6"/>
        <v>0</v>
      </c>
      <c r="AJ49" s="22" t="str">
        <f>'S. INVESTIGACIÓN'!AJ22</f>
        <v>NO SE HA EJECUTADO EN ESTE TRIMESTRE</v>
      </c>
      <c r="AK49" s="5">
        <f>'S. INVESTIGACIÓN'!AK22</f>
        <v>3000000</v>
      </c>
      <c r="AL49" s="5">
        <f>'S. INVESTIGACIÓN'!AL22</f>
        <v>0</v>
      </c>
      <c r="AM49" s="5">
        <f>'S. INVESTIGACIÓN'!AM22</f>
        <v>3000000</v>
      </c>
      <c r="AN49" s="5">
        <f>'S. INVESTIGACIÓN'!AN22</f>
        <v>0</v>
      </c>
      <c r="AO49" s="99">
        <f>'S. INVESTIGACIÓN'!AO22</f>
        <v>0</v>
      </c>
      <c r="AP49" s="94">
        <f>'S. INVESTIGACIÓN'!AP22</f>
        <v>4</v>
      </c>
      <c r="AQ49" s="99">
        <f>'S. INVESTIGACIÓN'!AQ22</f>
        <v>2</v>
      </c>
      <c r="AR49" s="94">
        <f>'S. INVESTIGACIÓN'!AR22</f>
        <v>2</v>
      </c>
      <c r="AS49" s="99">
        <f>'S. INVESTIGACIÓN'!AS22</f>
        <v>1</v>
      </c>
      <c r="AT49" s="94">
        <f>'S. INVESTIGACIÓN'!AT22</f>
        <v>6</v>
      </c>
      <c r="AU49" s="363">
        <f t="shared" si="15"/>
        <v>0</v>
      </c>
      <c r="AV49" s="363">
        <f t="shared" si="21"/>
        <v>3</v>
      </c>
      <c r="AW49" s="363">
        <f t="shared" si="16"/>
        <v>1.5</v>
      </c>
      <c r="AX49" s="22" t="str">
        <f>'S. INVESTIGACIÓN'!AX22</f>
        <v>Se apoyó a la capacitación y desarrollo de 6 talleres para la formulación de la investigación:
1 - Taller: La Carpintería de la Escritura para la Investigación Nivel I (GRUPO 2)
2 - Taller: La Carpintería de la Escritura para la Investigación Nivel II (GRUPO 2)
3 - Taller: La Carpintería de la Escritura para la Investigación Nivel III
4 - Taller básico de ortografía para la enseñanza (GRUPO 2)
5 - Taller permanente: búsqueda de la literatura científica y manejo de gestores bibliográficos 
6 - Taller: Formulación de Proyectos bajo la Metodología de Marco Lógico para diligenciar proyectos en -MGA</v>
      </c>
    </row>
    <row r="50" spans="1:50" ht="48.75" customHeight="1" x14ac:dyDescent="0.25">
      <c r="A50" s="611"/>
      <c r="B50" s="610" t="s">
        <v>143</v>
      </c>
      <c r="C50" s="23" t="str">
        <f>Asignación!A44</f>
        <v>SI-PY4.1</v>
      </c>
      <c r="D50" s="258" t="str">
        <f>Asignación!B44</f>
        <v>Financiar proyectos de investigación de convocatorias internas  y externas.</v>
      </c>
      <c r="E50" s="23">
        <f>Asignación!C44</f>
        <v>410</v>
      </c>
      <c r="F50" s="4" t="s">
        <v>89</v>
      </c>
      <c r="G50" s="94">
        <f>'S. INVESTIGACIÓN'!G23</f>
        <v>20</v>
      </c>
      <c r="H50" s="5" t="str">
        <f>'S. INVESTIGACIÓN'!H23</f>
        <v>PROYECTOS</v>
      </c>
      <c r="I50" s="5">
        <f>Asignación!K44</f>
        <v>80000000</v>
      </c>
      <c r="J50" s="5">
        <f>'S. INVESTIGACIÓN'!J23</f>
        <v>8000000</v>
      </c>
      <c r="K50" s="5">
        <f t="shared" si="17"/>
        <v>72000000</v>
      </c>
      <c r="L50" s="94">
        <f>'S. INVESTIGACIÓN'!L23</f>
        <v>0</v>
      </c>
      <c r="M50" s="94">
        <f>'S. INVESTIGACIÓN'!M23</f>
        <v>0</v>
      </c>
      <c r="N50" s="94">
        <f>'S. INVESTIGACIÓN'!N23</f>
        <v>3</v>
      </c>
      <c r="O50" s="94">
        <f>'S. INVESTIGACIÓN'!O23</f>
        <v>0.15</v>
      </c>
      <c r="P50" s="94">
        <f>'S. INVESTIGACIÓN'!P23</f>
        <v>5</v>
      </c>
      <c r="Q50" s="94">
        <f>'S. INVESTIGACIÓN'!Q23</f>
        <v>0.25</v>
      </c>
      <c r="R50" s="94">
        <f>'S. INVESTIGACIÓN'!R23</f>
        <v>8</v>
      </c>
      <c r="S50" s="267">
        <f t="shared" si="1"/>
        <v>0.1</v>
      </c>
      <c r="T50" s="267">
        <f t="shared" si="18"/>
        <v>0.4</v>
      </c>
      <c r="U50" s="267">
        <f t="shared" si="14"/>
        <v>0.25</v>
      </c>
      <c r="V50" s="22" t="str">
        <f>'S. INVESTIGACIÓN'!V23</f>
        <v>Para el primer trimestre se apoyó para le ejecución de 8 proyectos relacionados así (MEDIANTE ACTA No. 2 DE ENERO 26 DE 2017) - SI-PY1.5 Y SI-PY4.1 SON ACCIONES QUE VAN UNIDAS:
1 - CONSTRUCCIÓN DE PRÁCTICAS PEDAGÓGICAS ALTERNATIVAS PARA LA FORMACIÓN DE MAESTROS PARA LA PAZ, LA EQUIDAD Y LA RECONCILIACIÓN: CONTRATO VIPS 052-A2017 
2 - LOS SISTEMAS DINÁMICOS DEL CAMBIO CLIMÁTICO Y LAS AFECTACIONES SOBRE LOS SISTEMAS ECOLÓGICOS LOCALES: CONTRATO VIPS 058-A2017, AVANCE 162
3 - CONOCIMIENTOS Y PRÁCTICAS QUE REALIZAN LOS PACIENTES DIABÉTICOS PARA LA PREVENCIÓN DEL PIE DIABÉTICO EN LA EMPRESA SOCIAL DEL ESTADO (ESE) CARMEN EMILIA OSPINA: CONTRATO VIPS 298-B2017, AVANCE 020, AVANCE 079
4 - ACTITUD, CONOCIMIENTO Y USO DE LAS TECNOLOGÍAS DE LA INFORMACIÓN Y LA COMUNICACIÓN (TIC) PARA LA ENSEÑANZA DE LAS CIENCIAS NATURALES EN LAS INSTITUCIONES EDUCATIVAS PÚBLICAS DEL MUNICIPIO DE NEIVA. UN ESTUDIO DIAGNÓSTICO: CONTRATO VIPS 128-A2017, AVANCE 048, CONTRATO VIPS 171-A2017, AVANCE 118
5 - COMPETENCIAS GERENCIALES DE LOS LÍDERES ORGANIZACIONALES DEL SECTOR PRODUCTIVO DE LAS PASIFLORAS EN EL DEPARTAMENTO DEL HUILA: AVANCE 026, VIPS 293-B2017
6 - LA CONCILIACIÓN PROCESAL OBLIGATORIA COMO MECANISMO DE DESCONGESTIÓN JUDICIAL EN LA JURISDICCIÓN CONTENCIOSA ADMINISTRATIVA DE ANTIOQUIA, BOLÍVAR, CUNDINAMARCA Y VALLE DEL CAUCA: CONTRATO VIPS 069-A2017, CONTRATO VIPS 287-B2017
7 - IDENTIFICACIÓN DE ESPECIES ICTICAS EN EL ÁREA DE INFLUENCIA DE LA HIDROELÉCTRICA DEL QUIMBO: CONTRATO VIPS 083-A2017, AVANCE 083, CONTRATO VIPS 213-A2017, AVANCE 202, CONTRATO VIPS 213-A2017
8 - CARACTERIZACIÓN DE LAS ACCIONES CONSTITUCIONALES DERIVADAS DE LA CONSTRUCCIÓN DE LA HIDROELÉCTRICA “EL QUIMBO”: AVANCE 014, CONTRATO VIPS 082-A2017, AVANCE 029, AVANCE 129</v>
      </c>
      <c r="W50" s="5">
        <f>'S. INVESTIGACIÓN'!W23</f>
        <v>80000000</v>
      </c>
      <c r="X50" s="5">
        <f>'S. INVESTIGACIÓN'!X23</f>
        <v>23629998</v>
      </c>
      <c r="Y50" s="5">
        <f t="shared" si="19"/>
        <v>56370002</v>
      </c>
      <c r="Z50" s="94">
        <f>'S. INVESTIGACIÓN'!Z23</f>
        <v>3</v>
      </c>
      <c r="AA50" s="99">
        <f>'S. INVESTIGACIÓN'!AA23</f>
        <v>0.15</v>
      </c>
      <c r="AB50" s="94">
        <f>'S. INVESTIGACIÓN'!AB23</f>
        <v>1</v>
      </c>
      <c r="AC50" s="99">
        <f>'S. INVESTIGACIÓN'!AC23</f>
        <v>0.05</v>
      </c>
      <c r="AD50" s="94">
        <f>'S. INVESTIGACIÓN'!AD23</f>
        <v>2</v>
      </c>
      <c r="AE50" s="99">
        <f>'S. INVESTIGACIÓN'!AE23</f>
        <v>0.1</v>
      </c>
      <c r="AF50" s="94">
        <f>'S. INVESTIGACIÓN'!AF23</f>
        <v>6</v>
      </c>
      <c r="AG50" s="249">
        <f t="shared" si="4"/>
        <v>0.29537497499999998</v>
      </c>
      <c r="AH50" s="249">
        <f t="shared" si="20"/>
        <v>0.30000000000000004</v>
      </c>
      <c r="AI50" s="249">
        <f t="shared" si="6"/>
        <v>0.29768748750000001</v>
      </c>
      <c r="AJ50" s="22" t="str">
        <f>'S. INVESTIGACIÓN'!AJ23</f>
        <v>Para el segundo trimestre se apoyó para le ejecución de 6 proyectos relacionados así (MEDIANTE ACTA No. 2 DE ENERO 26 DE 2017) - SI-PY1.5 Y SI-PY4.1 SON ACCIONES QUE VAN UNIDAS:
1 - RECONFIGURACIÓN DEL TERRITORIO. DISCURSOS SOBRE TERRITORIO, DEMOCRACIA, DESARROLLO Y POLÍTICA EN EL DEPARTAMENTO DEL HUILA:  VIPS 100-A2017, VIPS 099-A2017, RESOLUCION No. 037, AVANCE 217
2 - EL PAPEL DE LA IGLESIA EN LOS PROCESOS DE PAZ Y RECONCILIACIÓN EN AMÉRICA LATINA – UNA MIRADA HISTÓRICA: AVANCE 073, AVANCE 109, AVANCE 223
3 - EL TRABAJO COLABORATIVO: UNA HERRAMIENTA PARA LA TRANSFORMACIÓN DE LAS PRÁCTICAS PEDAGÓGICAS: CONTRATO VIPS 098-A2017, AVANCE 243
4 - ANÁLISIS DEL PROCESO EVALUATIVO DEL APRENDIZAJE DEL INGLÉS EN UN PROGRAMA DE LICENCIATURA EN LENGUA EXTRANJERA DE UNA UNIVERSIDAD PÚBLICA EN COLOMBIA: CONTRATO VIPS  175-A2017, CONTRATO VIPS 287-B2017, AVANCE 246, AVANCE 247
5 - EFECTOS DE DOS MÉTODOS DE RETROALIMENTACIÓN CORRECTIVA EN LA ESCRITURA EN INGLÉS COMO LENGUA EXTRANJERA (ILE): EL DESARROLLO DE LA PRECISIÓN GRAMATICAL Y LEXICAL.: CONTRATO VIPS 210-A2017
6 - ESTUDIO DE LA RADIACIÓN ELECTROMAGNÉTICA INCIDENTE SOBRE SISTEMAS PERIÓDICOS DE GEOMETRÍA PLANAS Y ESFÉRICA, CON MATERIALES DE DIFERENTES PROPIEDADES ELECTROMAGNÉTICAS: VIPS 127-A2017</v>
      </c>
      <c r="AK50" s="5">
        <f>'S. INVESTIGACIÓN'!AK23</f>
        <v>80000000</v>
      </c>
      <c r="AL50" s="5">
        <f>'S. INVESTIGACIÓN'!AL23</f>
        <v>79966666</v>
      </c>
      <c r="AM50" s="5">
        <f>'S. INVESTIGACIÓN'!AM23</f>
        <v>33334</v>
      </c>
      <c r="AN50" s="5">
        <f>'S. INVESTIGACIÓN'!AN23</f>
        <v>3</v>
      </c>
      <c r="AO50" s="99">
        <f>'S. INVESTIGACIÓN'!AO23</f>
        <v>0.15</v>
      </c>
      <c r="AP50" s="94">
        <f>'S. INVESTIGACIÓN'!AP23</f>
        <v>3</v>
      </c>
      <c r="AQ50" s="99">
        <f>'S. INVESTIGACIÓN'!AQ23</f>
        <v>0.15</v>
      </c>
      <c r="AR50" s="94">
        <f>'S. INVESTIGACIÓN'!AR23</f>
        <v>5</v>
      </c>
      <c r="AS50" s="99">
        <f>'S. INVESTIGACIÓN'!AS23</f>
        <v>0.25</v>
      </c>
      <c r="AT50" s="94">
        <f>'S. INVESTIGACIÓN'!AT23</f>
        <v>11</v>
      </c>
      <c r="AU50" s="363">
        <f t="shared" si="15"/>
        <v>0.99958332500000002</v>
      </c>
      <c r="AV50" s="363">
        <f t="shared" si="21"/>
        <v>0.55000000000000004</v>
      </c>
      <c r="AW50" s="363">
        <f t="shared" si="16"/>
        <v>0.77479166249999998</v>
      </c>
      <c r="AX50" s="22" t="str">
        <f>'S. INVESTIGACIÓN'!AX23</f>
        <v>Para el segundo trimestre se apoyó para le ejecución de 11 proyectos relacionados así (MEDIANTE ACTA No. 2 DE ENERO 26 DE 2017) - SI-PY1.5 Y SI-PY4.1 SON ACCIONES QUE VAN UNIDAS:
1 - NIVELES DE INTERFERÓN GAMMA Y CITOCINAS PRO-INFLAMATORIAS EN LAVADO BRONCO-ALVEOLAR DE PACIENTES ADULTOS CON SOSPECHA DE TUBERCULOSIS: CONTRATO VIPS 309-B2017, CONTRATO VIPS 288-B2017, CONTRATO VIPS 314-B2017
2 - CORRELATOS NEUROFISIOLÓGICOS (ELECTROENCEFALOGRAFÍA) DEL PROCESAMIENTO EMOCIONAL DE LOS PERFILES CLÍNICOS EN NIÑOS: RESOLUCIÓN No. 069, CONTRATO VIPS 290-B2017
3 - ANÁLISIS DE ESTABILIDAD EN EL MODELO PARA EL VIH EN EL MUNICIPIO DE NEIVA: CONTRATO VIPS 302-B2017, ORDEN ADMINISTRATIVA No. 089
4 - INFLUENCIAS EN LA PRODUCCIÓN DE CONTENIDOS DE LAS EMISORAS UNIVERSITARIAS DE INTERÉS PÚBLICO DE LA REGIÓN SUR DE COLOMBIA: CONTRATO VIPS 232 -B2017, CONTRATO VIPS 231 -B2017, AVANCE 131, AVANCE 167, AVANCE 168, AVANCE 182, AVANCE 241, AVANCE 242
5 - MARCADORES BIOLÓGICOS NEUROCOGNITIVOS DE NIÑOS Y NIÑAS DE 7 A 9 AÑOS VÍCTIMAS DE ACOSO ESCOLAR (2016 20%): AVANCE 126
6 - ESTUDIO DE CARACTERIZACIÓN DE LA POBLACIÓN DEDICADA AL SERVICIO DE TRANSPORTE URBANO EN MOTO Y FORMULACIÓN DE POLÍTICAS PÚBLICAS ALTERNATIVAS PARA LA CIUDAD DE NEIVA (H): CONTRATO VIPS 255-B2017, AVANCE 135, AVANCE 144, CONTRATO VIPS 261-B2017
7 - DESARROLLO DE UN NUEVO PRODUCTO A BASE DE FILETE DE TILAPIA (OREOCHROMIS SP.) MEDIANTE LA APLICACIÓN DE MÉTODOS DE SALADO: CONTRATO VIPS 303-B2017
8 - RECONSTRUCCIÓN DE LOS ITINERARIOS TERAPÉUTICOS DE LAS MUJERES CON CÁNCER DE MAMA PARA LA RECONSTRUCCIÓN DE LOS SENOS EN LA CIUDAD DE NEIVA (HUILA): AVANCE 234
9 - ESTUDIO DE LA FRICCIÓN EN MECÁNICA CUÁNTICA: CONTRATO VIPS 311-B2017
10 - CALIDAD DE VIDA Y ASPECTOS PSICOSOCIALES EN UNA MUESTRA DE PACIENTES DIAGNOSTICADOS CON SÍNDROME DE FIBROMIALGIA EN LAS CIUDADES DE NEIVA Y TUNJA.: AVANCE 197, AVANCE 249, CONTRATO VIPS 301-B2017, CONTRATO VIPS 299-B2017
11 - DISEÑO E IMPLEMENTACIÓN DE SISTEMA DE GUÍA INERCIAL PARA EL CONTROL DE VUELO AUTÓNOMO DE UN HELICÓPTERO AEROMODELO: AVANCE 175, CONTRATO VIPS 304-B2017AVANCE 209, AVANCE 223</v>
      </c>
    </row>
    <row r="51" spans="1:50" ht="42" customHeight="1" x14ac:dyDescent="0.25">
      <c r="A51" s="611"/>
      <c r="B51" s="610"/>
      <c r="C51" s="23" t="str">
        <f>Asignación!A45</f>
        <v>SI-PY4.2</v>
      </c>
      <c r="D51" s="258" t="str">
        <f>Asignación!B45</f>
        <v>Apoyo para la consolidación de grupos de investigación.</v>
      </c>
      <c r="E51" s="23">
        <f>Asignación!C45</f>
        <v>410</v>
      </c>
      <c r="F51" s="4" t="s">
        <v>148</v>
      </c>
      <c r="G51" s="94">
        <f>'S. INVESTIGACIÓN'!G24</f>
        <v>5</v>
      </c>
      <c r="H51" s="5" t="str">
        <f>'S. INVESTIGACIÓN'!H24</f>
        <v>NUEVOS GRUPOS DE INVESTIGACIÓN CATEGORIZADOS</v>
      </c>
      <c r="I51" s="5">
        <f>Asignación!K45</f>
        <v>35000000</v>
      </c>
      <c r="J51" s="5">
        <f>'S. INVESTIGACIÓN'!J24</f>
        <v>2940000</v>
      </c>
      <c r="K51" s="5">
        <f t="shared" si="17"/>
        <v>32060000</v>
      </c>
      <c r="L51" s="94">
        <f>'S. INVESTIGACIÓN'!L24</f>
        <v>35</v>
      </c>
      <c r="M51" s="94">
        <f>'S. INVESTIGACIÓN'!M24</f>
        <v>7</v>
      </c>
      <c r="N51" s="94">
        <f>'S. INVESTIGACIÓN'!N24</f>
        <v>0</v>
      </c>
      <c r="O51" s="94">
        <f>'S. INVESTIGACIÓN'!O24</f>
        <v>0</v>
      </c>
      <c r="P51" s="94">
        <f>'S. INVESTIGACIÓN'!P24</f>
        <v>0</v>
      </c>
      <c r="Q51" s="94">
        <f>'S. INVESTIGACIÓN'!Q24</f>
        <v>0</v>
      </c>
      <c r="R51" s="94">
        <f>'S. INVESTIGACIÓN'!R24</f>
        <v>35</v>
      </c>
      <c r="S51" s="267">
        <f t="shared" si="1"/>
        <v>8.4000000000000005E-2</v>
      </c>
      <c r="T51" s="267">
        <f t="shared" si="18"/>
        <v>7</v>
      </c>
      <c r="U51" s="267">
        <f t="shared" si="14"/>
        <v>3.5419999999999998</v>
      </c>
      <c r="V51" s="22" t="str">
        <f>'S. INVESTIGACIÓN'!V24</f>
        <v>Se está apoyando en la consolidación de 35 grupos de investigación (MEDIANTE ACTA No. 2 DE ENERO 26 DE 2017):
1 - Agroindustria USCO  
2- Ecosistemas Surcolombianos  
3 - Grupo de Investigación en Pruebas de Pozos
4 - Nuevas Tecnologías
5 - Unificación de los Sistemas de Comunicaciones “UNITCOM”
6 - Grupo de Investigacion de Robotica , control y procesamiento de señales  ROBOCOPS
7 - Desarrollo de Neurociencias en Psicología - DNEUROPSY
8 - Parasitología y Medicina Tropical
9 - Laboratorio de Medicina Genómica
10 - Desarrollo Social, Salud Pública y Derechos Humanos
11 - Biología de la Reproducción
12 - Salud y Grupos Vulnerables
13 - Carlos Finlay
14 - Neurored
15 - Grupo Medico Quirurgico Surcolombiano
16 - Programa de Acción Curricular Alternativo – PACA
17 - Molúfode
18 - Comuniquémonos
19 - Conocimiento Profesional del Profesor de Ciencias Universidad Pedagógica Nacional y Universidad Surcolombiana
20 - Acción Motriz
21 - Aprenap
22 - Simbiosis, Hombre y Naturaleza
23 - Cre@
24 - Pymes
25 - Iguaque
26 - Culturas, Conflictos y Subjetividades
27 - Grupo de Investigación en Psicología Positiva
28 - Crecer
29 - Comunicación, Memoria y Región
30 - Dinusco
31 - Física Teórica
32 - Nuevas Visiones del Derecho
33 - Cynergia
34 - Con-ciencia Jurídica
35 - Pensamiento, Práctica y Teoría Política</v>
      </c>
      <c r="W51" s="5">
        <f>'S. INVESTIGACIÓN'!W24</f>
        <v>35000000</v>
      </c>
      <c r="X51" s="5">
        <f>'S. INVESTIGACIÓN'!X24</f>
        <v>8484279</v>
      </c>
      <c r="Y51" s="5">
        <f t="shared" si="19"/>
        <v>26515721</v>
      </c>
      <c r="Z51" s="94">
        <f>'S. INVESTIGACIÓN'!Z24</f>
        <v>0</v>
      </c>
      <c r="AA51" s="99">
        <f>'S. INVESTIGACIÓN'!AA24</f>
        <v>0</v>
      </c>
      <c r="AB51" s="94">
        <f>'S. INVESTIGACIÓN'!AB24</f>
        <v>0</v>
      </c>
      <c r="AC51" s="99">
        <f>'S. INVESTIGACIÓN'!AC24</f>
        <v>0</v>
      </c>
      <c r="AD51" s="94">
        <f>'S. INVESTIGACIÓN'!AD24</f>
        <v>0</v>
      </c>
      <c r="AE51" s="99">
        <f>'S. INVESTIGACIÓN'!AE24</f>
        <v>0</v>
      </c>
      <c r="AF51" s="94">
        <f>'S. INVESTIGACIÓN'!AF24</f>
        <v>0</v>
      </c>
      <c r="AG51" s="249">
        <f t="shared" si="4"/>
        <v>0.24240797142857143</v>
      </c>
      <c r="AH51" s="249">
        <f t="shared" si="20"/>
        <v>0</v>
      </c>
      <c r="AI51" s="249">
        <f t="shared" si="6"/>
        <v>0.12120398571428571</v>
      </c>
      <c r="AJ51" s="22" t="str">
        <f>'S. INVESTIGACIÓN'!AJ24</f>
        <v>Ya se cumplió la meta, En el segundo trimestre se continúa apoyando en la consolidación de 35 grupos de investigación (MEDIANTE ACTA No. 2 DE ENERO 26 DE 2017)</v>
      </c>
      <c r="AK51" s="5">
        <f>'S. INVESTIGACIÓN'!AK24</f>
        <v>35000000</v>
      </c>
      <c r="AL51" s="5">
        <f>'S. INVESTIGACIÓN'!AL24</f>
        <v>33822152</v>
      </c>
      <c r="AM51" s="5">
        <f>'S. INVESTIGACIÓN'!AM24</f>
        <v>1177848</v>
      </c>
      <c r="AN51" s="5">
        <f>'S. INVESTIGACIÓN'!AN24</f>
        <v>0</v>
      </c>
      <c r="AO51" s="99">
        <f>'S. INVESTIGACIÓN'!AO24</f>
        <v>0</v>
      </c>
      <c r="AP51" s="94">
        <f>'S. INVESTIGACIÓN'!AP24</f>
        <v>0</v>
      </c>
      <c r="AQ51" s="99">
        <f>'S. INVESTIGACIÓN'!AQ24</f>
        <v>0</v>
      </c>
      <c r="AR51" s="94">
        <f>'S. INVESTIGACIÓN'!AR24</f>
        <v>0</v>
      </c>
      <c r="AS51" s="99">
        <f>'S. INVESTIGACIÓN'!AS24</f>
        <v>0</v>
      </c>
      <c r="AT51" s="94">
        <f>'S. INVESTIGACIÓN'!AT24</f>
        <v>0</v>
      </c>
      <c r="AU51" s="363">
        <f t="shared" si="15"/>
        <v>0.96634719999999996</v>
      </c>
      <c r="AV51" s="363">
        <f t="shared" si="21"/>
        <v>0</v>
      </c>
      <c r="AW51" s="363">
        <f t="shared" si="16"/>
        <v>0.48317359999999998</v>
      </c>
      <c r="AX51" s="22" t="str">
        <f>'S. INVESTIGACIÓN'!AX24</f>
        <v>Ya se cumplió la meta, En el tercer trimestre se continúa apoyando en la consolidación de 35 grupos de investigación (MEDIANTE ACTA No. 2 DE ENERO 26 DE 2017)</v>
      </c>
    </row>
    <row r="52" spans="1:50" ht="37.5" customHeight="1" x14ac:dyDescent="0.25">
      <c r="A52" s="611"/>
      <c r="B52" s="610" t="s">
        <v>150</v>
      </c>
      <c r="C52" s="23" t="str">
        <f>Asignación!A46</f>
        <v>SI-PY5.1</v>
      </c>
      <c r="D52" s="258" t="str">
        <f>Asignación!B46</f>
        <v>Convenios cofinanciados.</v>
      </c>
      <c r="E52" s="23">
        <f>Asignación!C46</f>
        <v>410</v>
      </c>
      <c r="F52" s="4" t="s">
        <v>89</v>
      </c>
      <c r="G52" s="94">
        <f>'S. INVESTIGACIÓN'!G25</f>
        <v>9</v>
      </c>
      <c r="H52" s="5" t="str">
        <f>'S. INVESTIGACIÓN'!H25</f>
        <v>CONVENIOS</v>
      </c>
      <c r="I52" s="5">
        <f>Asignación!K46</f>
        <v>3157557814</v>
      </c>
      <c r="J52" s="5">
        <f>'S. INVESTIGACIÓN'!J25</f>
        <v>777824048</v>
      </c>
      <c r="K52" s="5">
        <f t="shared" si="17"/>
        <v>2379733766</v>
      </c>
      <c r="L52" s="94">
        <f>'S. INVESTIGACIÓN'!L25</f>
        <v>4</v>
      </c>
      <c r="M52" s="94">
        <f>'S. INVESTIGACIÓN'!M25</f>
        <v>0.44444444444444442</v>
      </c>
      <c r="N52" s="94">
        <f>'S. INVESTIGACIÓN'!N25</f>
        <v>2</v>
      </c>
      <c r="O52" s="94">
        <f>'S. INVESTIGACIÓN'!O25</f>
        <v>0.22222222222222221</v>
      </c>
      <c r="P52" s="94">
        <f>'S. INVESTIGACIÓN'!P25</f>
        <v>0</v>
      </c>
      <c r="Q52" s="94">
        <f>'S. INVESTIGACIÓN'!Q25</f>
        <v>0</v>
      </c>
      <c r="R52" s="94">
        <f>'S. INVESTIGACIÓN'!R25</f>
        <v>6</v>
      </c>
      <c r="S52" s="267">
        <f t="shared" si="1"/>
        <v>0.24633723080264081</v>
      </c>
      <c r="T52" s="267">
        <f t="shared" si="18"/>
        <v>0.66666666666666663</v>
      </c>
      <c r="U52" s="267">
        <f t="shared" si="14"/>
        <v>0.45650194873465372</v>
      </c>
      <c r="V52" s="22" t="str">
        <f>'S. INVESTIGACIÓN'!V25</f>
        <v>Se apoyo con la ejecución de 06 convenios cofianciados:
1 - Convenio entre Universidad RHODE ISLAND y la USCO: CONTRATO VIPS 026-A2017, CONTRATO VIPS 077-A2017, AVANCE No. 033
2 - Convenio 707 EMGESA y la USCO: CONTRATO VIPS 011-A2017, CONTRATO VIPS 012-A2017, CONTRATO VIPS 013-A2017, CONTRATO VIPS 014-A2017, CONTRATO VIPS 015-A2017, AVANCE No. 004 
3 - Convenio 571 entre la FIDUPREVISORA y la USCO: CONTRATO VIPS 007-A2017, CONTRATO VIPS 008-A2017, CONTRATO VIPS 018-A2017, CONTRATO VIPS 021-A2017, CONTRATO VIPS 022-A2017
4 - Convenio de Cooperación ONDAS No. 245-2014 entre el Departamento del Huila y la USCO: CONTRATO VIPS 019-A2017, CONTRATO VIPS 020-A2017, CONTRATO VIPS 039-A2017, CONTRATO VIPS 040-A2017, CONTRATO VIPS 041-A2017, CONTRATO VIPS 042-A2017, CONTRATO VIPS 043-A2017, CONTRATO VIPS 044-A2017, CONTRATO VIPS 045-A2017, CONTRATO VIPS 046-A2017, CONTRATO VIPS 047-A2017, CONTRATO VIPS 048-A2017, CONTRATO VIPS 053-A2017, CONTRATO VIPS 056-A2017, CONTRATO VIPS 079-A2017, CONTRATO VIPS 080-A2017, AVANCE No. 019, AVANCE No. 039, AVANCE No. 040, AVANCE No. 047, AVANCE No. 054, AVANCE No. 052
5 - CONVENIO ENTRE LA UNIVERSIDAD DE MANCHESTER -UNIVERSIDAD DE LOS ANDES Y UNIVERSIDAD SURCOLOMBIANA: CONTRATO VIPS 050-A2017, CONTRATO VIPS 054-A2017, CONTRATO VIPS 060-A2017, CONTRATO VIPS 067-A2017, CONTRATO VIPS 074-A2017, CONTRATO VIPS 075-A2017, CONTRATO VIPS 076-A2017, CONTRATO VIPS 079-A2017, AVANCE No. 032, AVANCE No. 029
6 - Convenios confinanciados 085-2015 entre el Departamento del Huila y la USCO: CONTRATO VIPS 001-A2017, CONTRATO VIPS 002-A2017, CONTRATO VIPS 003-A2017, CONTRATO VIPS 004-A2017, CONTRATO VIPS 005-A2017, CONTRATO VIPS 027-A2017, CONTRATO VIPS 036-A2017, CONTRATO VIPS 050-A2017, CONTRATO VIPS 057-A2017, CONTRATO VIPS 062-A2017, CONTRATO VIPS 063-A2017, CONTRATO VIPS 064-A2017, CONTRATO VIPS 065-A2017, CONTRATO VIPS 089-A2017, CONTRATO VIPS 086-A2017, OTROSI CONTRATO VIPS 062-A2017.</v>
      </c>
      <c r="W52" s="5">
        <f>'S. INVESTIGACIÓN'!W25</f>
        <v>3157557814</v>
      </c>
      <c r="X52" s="5">
        <f>'S. INVESTIGACIÓN'!X25</f>
        <v>1407137945</v>
      </c>
      <c r="Y52" s="5">
        <f t="shared" si="19"/>
        <v>1750419869</v>
      </c>
      <c r="Z52" s="94">
        <f>'S. INVESTIGACIÓN'!Z25</f>
        <v>0</v>
      </c>
      <c r="AA52" s="99">
        <f>'S. INVESTIGACIÓN'!AA25</f>
        <v>0</v>
      </c>
      <c r="AB52" s="94">
        <f>'S. INVESTIGACIÓN'!AB25</f>
        <v>0</v>
      </c>
      <c r="AC52" s="99">
        <f>'S. INVESTIGACIÓN'!AC25</f>
        <v>0</v>
      </c>
      <c r="AD52" s="94">
        <f>'S. INVESTIGACIÓN'!AD25</f>
        <v>1</v>
      </c>
      <c r="AE52" s="99">
        <f>'S. INVESTIGACIÓN'!AE25</f>
        <v>0.1111111111111111</v>
      </c>
      <c r="AF52" s="94">
        <f>'S. INVESTIGACIÓN'!AF25</f>
        <v>1</v>
      </c>
      <c r="AG52" s="249">
        <f t="shared" si="4"/>
        <v>0.44564122904132514</v>
      </c>
      <c r="AH52" s="249">
        <f t="shared" si="20"/>
        <v>0.1111111111111111</v>
      </c>
      <c r="AI52" s="249">
        <f t="shared" si="6"/>
        <v>0.27837617007621812</v>
      </c>
      <c r="AJ52" s="22" t="str">
        <f>'S. INVESTIGACIÓN'!AJ25</f>
        <v>Se apoyo con la ejecución de 01 convenio cofianciado para el segundo trimestre: 
1 - CONVENIO ESPECIAL DE COOPERACIÓN No. FP44842-164-2017 ENTRE LA FIDUCIARIA LA PREVISORA S.A (COLCIENCIAS) Y USCO: CONTRATO VIPS 220-A2017, CONTRATO VIPS 221-A2017</v>
      </c>
      <c r="AK52" s="5">
        <f>'S. INVESTIGACIÓN'!AK25</f>
        <v>3157557814</v>
      </c>
      <c r="AL52" s="5">
        <f>'S. INVESTIGACIÓN'!AL25</f>
        <v>2000827932</v>
      </c>
      <c r="AM52" s="5">
        <f>'S. INVESTIGACIÓN'!AM25</f>
        <v>1156729882</v>
      </c>
      <c r="AN52" s="5">
        <f>'S. INVESTIGACIÓN'!AN25</f>
        <v>0</v>
      </c>
      <c r="AO52" s="99">
        <f>'S. INVESTIGACIÓN'!AO25</f>
        <v>0</v>
      </c>
      <c r="AP52" s="94">
        <f>'S. INVESTIGACIÓN'!AP25</f>
        <v>0</v>
      </c>
      <c r="AQ52" s="99">
        <f>'S. INVESTIGACIÓN'!AQ25</f>
        <v>0</v>
      </c>
      <c r="AR52" s="94">
        <f>'S. INVESTIGACIÓN'!AR25</f>
        <v>0</v>
      </c>
      <c r="AS52" s="99">
        <f>'S. INVESTIGACIÓN'!AS25</f>
        <v>0</v>
      </c>
      <c r="AT52" s="94">
        <f>'S. INVESTIGACIÓN'!AT25</f>
        <v>0</v>
      </c>
      <c r="AU52" s="363">
        <f t="shared" si="15"/>
        <v>0.6336631187333186</v>
      </c>
      <c r="AV52" s="363">
        <f t="shared" si="21"/>
        <v>0</v>
      </c>
      <c r="AW52" s="363">
        <f t="shared" si="16"/>
        <v>0.3168315593666593</v>
      </c>
      <c r="AX52" s="22" t="str">
        <f>'S. INVESTIGACIÓN'!AX25</f>
        <v>NO SE REALIZARON CONVENIOS EN EL TERCER TRIMESTRE, SE CONTINÚAN APOYANDO LOS 7 CONVENIOS EXISTENTES</v>
      </c>
    </row>
    <row r="53" spans="1:50" ht="41.25" customHeight="1" x14ac:dyDescent="0.25">
      <c r="A53" s="611"/>
      <c r="B53" s="610"/>
      <c r="C53" s="23" t="str">
        <f>Asignación!A47</f>
        <v>SI-PY5.2</v>
      </c>
      <c r="D53" s="258" t="str">
        <f>Asignación!B47</f>
        <v>Gestión de proyectos de investigación en cooperación  regional nacional y/o internacional.</v>
      </c>
      <c r="E53" s="23">
        <f>Asignación!C47</f>
        <v>410</v>
      </c>
      <c r="F53" s="4" t="s">
        <v>89</v>
      </c>
      <c r="G53" s="94">
        <f>'S. INVESTIGACIÓN'!G26</f>
        <v>1</v>
      </c>
      <c r="H53" s="5" t="str">
        <f>'S. INVESTIGACIÓN'!H26</f>
        <v>BANCO DE PROYECTOS</v>
      </c>
      <c r="I53" s="5">
        <f>Asignación!K47</f>
        <v>82000000</v>
      </c>
      <c r="J53" s="5">
        <f>'S. INVESTIGACIÓN'!J26</f>
        <v>49629342</v>
      </c>
      <c r="K53" s="5">
        <f t="shared" si="17"/>
        <v>32370658</v>
      </c>
      <c r="L53" s="94">
        <f>'S. INVESTIGACIÓN'!L26</f>
        <v>0</v>
      </c>
      <c r="M53" s="94">
        <f>'S. INVESTIGACIÓN'!M26</f>
        <v>0</v>
      </c>
      <c r="N53" s="94">
        <f>'S. INVESTIGACIÓN'!N26</f>
        <v>0.25</v>
      </c>
      <c r="O53" s="94">
        <f>'S. INVESTIGACIÓN'!O26</f>
        <v>0.25</v>
      </c>
      <c r="P53" s="94">
        <f>'S. INVESTIGACIÓN'!P26</f>
        <v>0</v>
      </c>
      <c r="Q53" s="94">
        <f>'S. INVESTIGACIÓN'!Q26</f>
        <v>0</v>
      </c>
      <c r="R53" s="94">
        <f>'S. INVESTIGACIÓN'!R26</f>
        <v>0.25</v>
      </c>
      <c r="S53" s="267">
        <f t="shared" si="1"/>
        <v>0.60523587804878054</v>
      </c>
      <c r="T53" s="267">
        <f t="shared" si="18"/>
        <v>0.25</v>
      </c>
      <c r="U53" s="267">
        <f t="shared" si="14"/>
        <v>0.42761793902439027</v>
      </c>
      <c r="V53" s="22" t="str">
        <f>'S. INVESTIGACIÓN'!V26</f>
        <v>SE HA ESTRUCTURADO Y AVANZADO APROXIMADAMENTE UN 25% EL BANCO DE PROYECTOS: CONTRATO VIPS 006-A2017</v>
      </c>
      <c r="W53" s="5">
        <f>'S. INVESTIGACIÓN'!W26</f>
        <v>252000000</v>
      </c>
      <c r="X53" s="5">
        <f>'S. INVESTIGACIÓN'!X26</f>
        <v>60349312</v>
      </c>
      <c r="Y53" s="5">
        <f t="shared" si="19"/>
        <v>191650688</v>
      </c>
      <c r="Z53" s="94">
        <f>'S. INVESTIGACIÓN'!Z26</f>
        <v>0</v>
      </c>
      <c r="AA53" s="99">
        <f>'S. INVESTIGACIÓN'!AA26</f>
        <v>0</v>
      </c>
      <c r="AB53" s="94">
        <f>'S. INVESTIGACIÓN'!AB26</f>
        <v>0</v>
      </c>
      <c r="AC53" s="99">
        <f>'S. INVESTIGACIÓN'!AC26</f>
        <v>0</v>
      </c>
      <c r="AD53" s="94">
        <f>'S. INVESTIGACIÓN'!AD26</f>
        <v>1.35</v>
      </c>
      <c r="AE53" s="99">
        <f>'S. INVESTIGACIÓN'!AE26</f>
        <v>1.35</v>
      </c>
      <c r="AF53" s="94">
        <f>'S. INVESTIGACIÓN'!AF26</f>
        <v>1.35</v>
      </c>
      <c r="AG53" s="249">
        <f t="shared" si="4"/>
        <v>0.23948139682539682</v>
      </c>
      <c r="AH53" s="249">
        <f t="shared" si="20"/>
        <v>1.35</v>
      </c>
      <c r="AI53" s="249">
        <f t="shared" si="6"/>
        <v>0.79474069841269845</v>
      </c>
      <c r="AJ53" s="22" t="str">
        <f>'S. INVESTIGACIÓN'!AJ26</f>
        <v>Se ha avanzado aproximadamente en un 80% el Banco de Proyectos de Grupos de Proyectos Especiales (GPE) que consta de 20 Proyectos y aproximadamente en un 80% el Banco de Proyectos de Investigación que lo conforman 6 Facultades y  123 Proyectos; se comenzó con la estructuración del Banco de Proyectos de Proyección Social (SOPORTES REPOSAN EN GPE)</v>
      </c>
      <c r="AK53" s="5">
        <f>'S. INVESTIGACIÓN'!AK26</f>
        <v>252000000</v>
      </c>
      <c r="AL53" s="5">
        <f>'S. INVESTIGACIÓN'!AL26</f>
        <v>81629312</v>
      </c>
      <c r="AM53" s="5">
        <f>'S. INVESTIGACIÓN'!AM26</f>
        <v>170370688</v>
      </c>
      <c r="AN53" s="5">
        <f>'S. INVESTIGACIÓN'!AN26</f>
        <v>0</v>
      </c>
      <c r="AO53" s="99">
        <f>'S. INVESTIGACIÓN'!AO26</f>
        <v>0</v>
      </c>
      <c r="AP53" s="94">
        <f>'S. INVESTIGACIÓN'!AP26</f>
        <v>0</v>
      </c>
      <c r="AQ53" s="99">
        <f>'S. INVESTIGACIÓN'!AQ26</f>
        <v>0</v>
      </c>
      <c r="AR53" s="94">
        <f>'S. INVESTIGACIÓN'!AR26</f>
        <v>1.4</v>
      </c>
      <c r="AS53" s="99">
        <f>'S. INVESTIGACIÓN'!AS26</f>
        <v>1.4</v>
      </c>
      <c r="AT53" s="94">
        <f>'S. INVESTIGACIÓN'!AT26</f>
        <v>1.4</v>
      </c>
      <c r="AU53" s="363">
        <f t="shared" si="15"/>
        <v>0.32392584126984125</v>
      </c>
      <c r="AV53" s="363">
        <f t="shared" si="21"/>
        <v>1.4</v>
      </c>
      <c r="AW53" s="363">
        <f t="shared" si="16"/>
        <v>0.86196292063492064</v>
      </c>
      <c r="AX53" s="22" t="str">
        <f>'S. INVESTIGACIÓN'!AX26</f>
        <v xml:space="preserve"> - BANCO DE PROYECTOS GPE: 17 PROYECTOS (100%) CON POSIBILIDADES DE HACER 2 PROYECTOS MÁS 
 - BANCO DE PROYECTOS INVESTIGACIÓN: 165 PROYECTOS, SE ESTÁN EJECUTANDO 88. (100%)
 - BANCO DE PROYECTOS PROYECCIÓN SOCIAL: 61 PROYECTOS, SE ESTÁN EJECUTANDO 44. (100%) </v>
      </c>
    </row>
    <row r="54" spans="1:50" ht="24" customHeight="1" x14ac:dyDescent="0.25">
      <c r="A54" s="611"/>
      <c r="B54" s="610"/>
      <c r="C54" s="23" t="str">
        <f>Asignación!A48</f>
        <v>SI-PY5.3</v>
      </c>
      <c r="D54" s="258" t="str">
        <f>Asignación!B48</f>
        <v>Divulgación del conocimiento.</v>
      </c>
      <c r="E54" s="23">
        <f>Asignación!C48</f>
        <v>410</v>
      </c>
      <c r="F54" s="4" t="s">
        <v>89</v>
      </c>
      <c r="G54" s="94">
        <f>'S. INVESTIGACIÓN'!G27</f>
        <v>1</v>
      </c>
      <c r="H54" s="5" t="str">
        <f>'S. INVESTIGACIÓN'!H27</f>
        <v>BOLETÍN DE LA VIPS</v>
      </c>
      <c r="I54" s="5">
        <f>Asignación!K48</f>
        <v>0</v>
      </c>
      <c r="J54" s="5">
        <f>'S. INVESTIGACIÓN'!J27</f>
        <v>0</v>
      </c>
      <c r="K54" s="5">
        <f t="shared" si="17"/>
        <v>0</v>
      </c>
      <c r="L54" s="94">
        <f>'S. INVESTIGACIÓN'!L27</f>
        <v>0</v>
      </c>
      <c r="M54" s="94">
        <f>'S. INVESTIGACIÓN'!M27</f>
        <v>0</v>
      </c>
      <c r="N54" s="94">
        <f>'S. INVESTIGACIÓN'!N27</f>
        <v>0</v>
      </c>
      <c r="O54" s="94">
        <f>'S. INVESTIGACIÓN'!O27</f>
        <v>0</v>
      </c>
      <c r="P54" s="94">
        <f>'S. INVESTIGACIÓN'!P27</f>
        <v>0</v>
      </c>
      <c r="Q54" s="94">
        <f>'S. INVESTIGACIÓN'!Q27</f>
        <v>0</v>
      </c>
      <c r="R54" s="94">
        <f>'S. INVESTIGACIÓN'!R27</f>
        <v>0</v>
      </c>
      <c r="S54" s="267">
        <f t="shared" si="1"/>
        <v>0</v>
      </c>
      <c r="T54" s="267">
        <f t="shared" si="18"/>
        <v>0</v>
      </c>
      <c r="U54" s="267">
        <f t="shared" si="14"/>
        <v>0</v>
      </c>
      <c r="V54" s="22" t="str">
        <f>'S. INVESTIGACIÓN'!V27</f>
        <v>NO SE HA EJECUTADO EN ESTE TRIMESTRE - NO TIENE RECURSOS ASIGNADOS</v>
      </c>
      <c r="W54" s="5">
        <f>'S. INVESTIGACIÓN'!W27</f>
        <v>0</v>
      </c>
      <c r="X54" s="5">
        <f>'S. INVESTIGACIÓN'!X27</f>
        <v>0</v>
      </c>
      <c r="Y54" s="5">
        <f t="shared" si="19"/>
        <v>0</v>
      </c>
      <c r="Z54" s="94">
        <f>'S. INVESTIGACIÓN'!Z27</f>
        <v>0</v>
      </c>
      <c r="AA54" s="99">
        <f>'S. INVESTIGACIÓN'!AA27</f>
        <v>0</v>
      </c>
      <c r="AB54" s="94">
        <f>'S. INVESTIGACIÓN'!AB27</f>
        <v>0</v>
      </c>
      <c r="AC54" s="99">
        <f>'S. INVESTIGACIÓN'!AC27</f>
        <v>0</v>
      </c>
      <c r="AD54" s="94">
        <f>'S. INVESTIGACIÓN'!AD27</f>
        <v>0</v>
      </c>
      <c r="AE54" s="99">
        <f>'S. INVESTIGACIÓN'!AE27</f>
        <v>0</v>
      </c>
      <c r="AF54" s="94">
        <f>'S. INVESTIGACIÓN'!AF27</f>
        <v>0</v>
      </c>
      <c r="AG54" s="249">
        <f t="shared" si="4"/>
        <v>0</v>
      </c>
      <c r="AH54" s="249">
        <f t="shared" si="20"/>
        <v>0</v>
      </c>
      <c r="AI54" s="249">
        <f t="shared" si="6"/>
        <v>0</v>
      </c>
      <c r="AJ54" s="22" t="str">
        <f>'S. INVESTIGACIÓN'!AJ27</f>
        <v>NO SE HA EJECUTADO EN ESTE TRIMESTRE - NO TIENE RECURSOS ASIGNADOS</v>
      </c>
      <c r="AK54" s="5">
        <f>'S. INVESTIGACIÓN'!AK27</f>
        <v>0</v>
      </c>
      <c r="AL54" s="5">
        <f>'S. INVESTIGACIÓN'!AL27</f>
        <v>0</v>
      </c>
      <c r="AM54" s="5">
        <f>'S. INVESTIGACIÓN'!AM27</f>
        <v>0</v>
      </c>
      <c r="AN54" s="5">
        <f>'S. INVESTIGACIÓN'!AN27</f>
        <v>0</v>
      </c>
      <c r="AO54" s="99">
        <f>'S. INVESTIGACIÓN'!AO27</f>
        <v>0</v>
      </c>
      <c r="AP54" s="94">
        <f>'S. INVESTIGACIÓN'!AP27</f>
        <v>0</v>
      </c>
      <c r="AQ54" s="99">
        <f>'S. INVESTIGACIÓN'!AQ27</f>
        <v>0</v>
      </c>
      <c r="AR54" s="94">
        <f>'S. INVESTIGACIÓN'!AR27</f>
        <v>0</v>
      </c>
      <c r="AS54" s="99">
        <f>'S. INVESTIGACIÓN'!AS27</f>
        <v>0</v>
      </c>
      <c r="AT54" s="94">
        <f>'S. INVESTIGACIÓN'!AT27</f>
        <v>0</v>
      </c>
      <c r="AU54" s="363">
        <f t="shared" si="15"/>
        <v>0</v>
      </c>
      <c r="AV54" s="363">
        <f t="shared" si="21"/>
        <v>0</v>
      </c>
      <c r="AW54" s="363">
        <f t="shared" si="16"/>
        <v>0</v>
      </c>
      <c r="AX54" s="22" t="str">
        <f>'S. INVESTIGACIÓN'!AX27</f>
        <v>NO SE HA EJECUTADO EN ESTE TRIMESTRE - NO TIENE RECURSOS ASIGNADOS</v>
      </c>
    </row>
    <row r="55" spans="1:50" ht="33" customHeight="1" x14ac:dyDescent="0.25">
      <c r="A55" s="611"/>
      <c r="B55" s="610" t="s">
        <v>160</v>
      </c>
      <c r="C55" s="23" t="str">
        <f>Asignación!A49</f>
        <v>SI-PY6.1</v>
      </c>
      <c r="D55" s="258" t="str">
        <f>Asignación!B49</f>
        <v>Diseño de aplicativos digitales para divulgación investigación.</v>
      </c>
      <c r="E55" s="23">
        <f>Asignación!C49</f>
        <v>410</v>
      </c>
      <c r="F55" s="4" t="s">
        <v>89</v>
      </c>
      <c r="G55" s="94">
        <f>'S. INVESTIGACIÓN'!G28</f>
        <v>1</v>
      </c>
      <c r="H55" s="5" t="str">
        <f>'S. INVESTIGACIÓN'!H28</f>
        <v>SISTEMA INTEGRADO DE INFORMACION</v>
      </c>
      <c r="I55" s="5">
        <f>Asignación!K49</f>
        <v>0</v>
      </c>
      <c r="J55" s="5">
        <f>'S. INVESTIGACIÓN'!J28</f>
        <v>0</v>
      </c>
      <c r="K55" s="5">
        <f t="shared" si="17"/>
        <v>0</v>
      </c>
      <c r="L55" s="94">
        <f>'S. INVESTIGACIÓN'!L28</f>
        <v>0</v>
      </c>
      <c r="M55" s="94">
        <f>'S. INVESTIGACIÓN'!M28</f>
        <v>0</v>
      </c>
      <c r="N55" s="94">
        <f>'S. INVESTIGACIÓN'!N28</f>
        <v>0</v>
      </c>
      <c r="O55" s="94">
        <f>'S. INVESTIGACIÓN'!O28</f>
        <v>0</v>
      </c>
      <c r="P55" s="94">
        <f>'S. INVESTIGACIÓN'!P28</f>
        <v>0</v>
      </c>
      <c r="Q55" s="94">
        <f>'S. INVESTIGACIÓN'!Q28</f>
        <v>0</v>
      </c>
      <c r="R55" s="94">
        <f>'S. INVESTIGACIÓN'!R28</f>
        <v>0</v>
      </c>
      <c r="S55" s="267">
        <f t="shared" si="1"/>
        <v>0</v>
      </c>
      <c r="T55" s="267">
        <f t="shared" si="18"/>
        <v>0</v>
      </c>
      <c r="U55" s="267">
        <f t="shared" si="14"/>
        <v>0</v>
      </c>
      <c r="V55" s="22" t="str">
        <f>'S. INVESTIGACIÓN'!V28</f>
        <v>NO SE HA EJECUTADO EN ESTE TRIMESTRE - NO TIENE RECURSOS ASIGNADOS</v>
      </c>
      <c r="W55" s="5">
        <f>'S. INVESTIGACIÓN'!W28</f>
        <v>1000000</v>
      </c>
      <c r="X55" s="5">
        <f>'S. INVESTIGACIÓN'!X28</f>
        <v>0</v>
      </c>
      <c r="Y55" s="5">
        <f t="shared" si="19"/>
        <v>1000000</v>
      </c>
      <c r="Z55" s="94">
        <f>'S. INVESTIGACIÓN'!Z28</f>
        <v>1</v>
      </c>
      <c r="AA55" s="99">
        <f>'S. INVESTIGACIÓN'!AA28</f>
        <v>1</v>
      </c>
      <c r="AB55" s="94">
        <f>'S. INVESTIGACIÓN'!AB28</f>
        <v>1</v>
      </c>
      <c r="AC55" s="99">
        <f>'S. INVESTIGACIÓN'!AC28</f>
        <v>1</v>
      </c>
      <c r="AD55" s="94">
        <f>'S. INVESTIGACIÓN'!AD28</f>
        <v>1</v>
      </c>
      <c r="AE55" s="99">
        <f>'S. INVESTIGACIÓN'!AE28</f>
        <v>1</v>
      </c>
      <c r="AF55" s="94">
        <f>'S. INVESTIGACIÓN'!AF28</f>
        <v>3</v>
      </c>
      <c r="AG55" s="249">
        <f t="shared" si="4"/>
        <v>0</v>
      </c>
      <c r="AH55" s="249">
        <f t="shared" si="20"/>
        <v>3</v>
      </c>
      <c r="AI55" s="249">
        <f t="shared" si="6"/>
        <v>1.5</v>
      </c>
      <c r="AJ55" s="22" t="str">
        <f>'S. INVESTIGACIÓN'!AJ28</f>
        <v>Actualización de sistemas de información. Desarrollo plicativos SIVIPS, CAP y Repositorio de producción intelectual</v>
      </c>
      <c r="AK55" s="5">
        <f>'S. INVESTIGACIÓN'!AK28</f>
        <v>1000000</v>
      </c>
      <c r="AL55" s="5">
        <f>'S. INVESTIGACIÓN'!AL28</f>
        <v>0</v>
      </c>
      <c r="AM55" s="5">
        <f>'S. INVESTIGACIÓN'!AM28</f>
        <v>1000000</v>
      </c>
      <c r="AN55" s="5">
        <f>'S. INVESTIGACIÓN'!AN28</f>
        <v>0</v>
      </c>
      <c r="AO55" s="99">
        <f>'S. INVESTIGACIÓN'!AO28</f>
        <v>0</v>
      </c>
      <c r="AP55" s="94">
        <f>'S. INVESTIGACIÓN'!AP28</f>
        <v>0</v>
      </c>
      <c r="AQ55" s="99">
        <f>'S. INVESTIGACIÓN'!AQ28</f>
        <v>0</v>
      </c>
      <c r="AR55" s="94">
        <f>'S. INVESTIGACIÓN'!AR28</f>
        <v>0</v>
      </c>
      <c r="AS55" s="99">
        <f>'S. INVESTIGACIÓN'!AS28</f>
        <v>0</v>
      </c>
      <c r="AT55" s="94">
        <f>'S. INVESTIGACIÓN'!AT28</f>
        <v>0</v>
      </c>
      <c r="AU55" s="363">
        <f t="shared" si="15"/>
        <v>0</v>
      </c>
      <c r="AV55" s="363">
        <f t="shared" si="21"/>
        <v>0</v>
      </c>
      <c r="AW55" s="363">
        <f t="shared" si="16"/>
        <v>0</v>
      </c>
      <c r="AX55" s="22" t="str">
        <f>'S. INVESTIGACIÓN'!AX28</f>
        <v>META YA SE CUMPLIÓ, Se continúa con la actualización de sistemas de información. Desarrollo plicativos SIVIPS, CAP y Repositorio de producción intelectual</v>
      </c>
    </row>
    <row r="56" spans="1:50" ht="114.75" x14ac:dyDescent="0.25">
      <c r="A56" s="611"/>
      <c r="B56" s="610"/>
      <c r="C56" s="23" t="str">
        <f>Asignación!A50</f>
        <v>SI-PY6.2</v>
      </c>
      <c r="D56" s="258" t="str">
        <f>Asignación!B50</f>
        <v>Elaboración y publicación del catálogo y portafolio de productos  Editorial Universidad Surcolombiana.</v>
      </c>
      <c r="E56" s="23">
        <f>Asignación!C50</f>
        <v>410</v>
      </c>
      <c r="F56" s="4" t="s">
        <v>89</v>
      </c>
      <c r="G56" s="94">
        <f>'S. INVESTIGACIÓN'!G29</f>
        <v>1</v>
      </c>
      <c r="H56" s="5" t="str">
        <f>'S. INVESTIGACIÓN'!H29</f>
        <v>REPOSITORIO (1), IMPACTO EN EL ENTORNO - VISIBILIDAD, NUMERO DE VISITAS QUE SE HACEN AL REPOSITORIO</v>
      </c>
      <c r="I56" s="5">
        <f>Asignación!K50</f>
        <v>0</v>
      </c>
      <c r="J56" s="5">
        <f>'S. INVESTIGACIÓN'!J29</f>
        <v>0</v>
      </c>
      <c r="K56" s="5">
        <f t="shared" si="17"/>
        <v>0</v>
      </c>
      <c r="L56" s="94">
        <f>'S. INVESTIGACIÓN'!L29</f>
        <v>0</v>
      </c>
      <c r="M56" s="94">
        <f>'S. INVESTIGACIÓN'!M29</f>
        <v>0</v>
      </c>
      <c r="N56" s="94">
        <f>'S. INVESTIGACIÓN'!N29</f>
        <v>0</v>
      </c>
      <c r="O56" s="94">
        <f>'S. INVESTIGACIÓN'!O29</f>
        <v>0</v>
      </c>
      <c r="P56" s="94">
        <f>'S. INVESTIGACIÓN'!P29</f>
        <v>0</v>
      </c>
      <c r="Q56" s="94">
        <f>'S. INVESTIGACIÓN'!Q29</f>
        <v>0</v>
      </c>
      <c r="R56" s="94">
        <f>'S. INVESTIGACIÓN'!R29</f>
        <v>0</v>
      </c>
      <c r="S56" s="267">
        <f t="shared" si="1"/>
        <v>0</v>
      </c>
      <c r="T56" s="267">
        <f t="shared" si="18"/>
        <v>0</v>
      </c>
      <c r="U56" s="267">
        <f t="shared" si="14"/>
        <v>0</v>
      </c>
      <c r="V56" s="22" t="str">
        <f>'S. INVESTIGACIÓN'!V29</f>
        <v>NO SE HA EJECUTADO EN ESTE TRIMESTRE - NO TIENE RECURSOS ASIGNADOS</v>
      </c>
      <c r="W56" s="5">
        <f>'S. INVESTIGACIÓN'!W29</f>
        <v>0</v>
      </c>
      <c r="X56" s="5">
        <f>'S. INVESTIGACIÓN'!X29</f>
        <v>0</v>
      </c>
      <c r="Y56" s="5">
        <f t="shared" si="19"/>
        <v>0</v>
      </c>
      <c r="Z56" s="94">
        <f>'S. INVESTIGACIÓN'!Z29</f>
        <v>0</v>
      </c>
      <c r="AA56" s="99">
        <f>'S. INVESTIGACIÓN'!AA29</f>
        <v>0</v>
      </c>
      <c r="AB56" s="94">
        <f>'S. INVESTIGACIÓN'!AB29</f>
        <v>0</v>
      </c>
      <c r="AC56" s="99">
        <f>'S. INVESTIGACIÓN'!AC29</f>
        <v>0</v>
      </c>
      <c r="AD56" s="94">
        <f>'S. INVESTIGACIÓN'!AD29</f>
        <v>0</v>
      </c>
      <c r="AE56" s="99">
        <f>'S. INVESTIGACIÓN'!AE29</f>
        <v>0</v>
      </c>
      <c r="AF56" s="94">
        <f>'S. INVESTIGACIÓN'!AF29</f>
        <v>0</v>
      </c>
      <c r="AG56" s="249">
        <f t="shared" si="4"/>
        <v>0</v>
      </c>
      <c r="AH56" s="249">
        <f t="shared" si="20"/>
        <v>0</v>
      </c>
      <c r="AI56" s="249">
        <f t="shared" si="6"/>
        <v>0</v>
      </c>
      <c r="AJ56" s="22" t="str">
        <f>'S. INVESTIGACIÓN'!AJ29</f>
        <v>NO SE HA EJECUTADO EN ESTE TRIMESTRE - NO TIENE RECURSOS ASIGNADOS</v>
      </c>
      <c r="AK56" s="5">
        <f>'S. INVESTIGACIÓN'!AK29</f>
        <v>0</v>
      </c>
      <c r="AL56" s="5">
        <f>'S. INVESTIGACIÓN'!AL29</f>
        <v>0</v>
      </c>
      <c r="AM56" s="5">
        <f>'S. INVESTIGACIÓN'!AM29</f>
        <v>0</v>
      </c>
      <c r="AN56" s="5">
        <f>'S. INVESTIGACIÓN'!AN29</f>
        <v>0</v>
      </c>
      <c r="AO56" s="99">
        <f>'S. INVESTIGACIÓN'!AO29</f>
        <v>0</v>
      </c>
      <c r="AP56" s="94">
        <f>'S. INVESTIGACIÓN'!AP29</f>
        <v>0</v>
      </c>
      <c r="AQ56" s="99">
        <f>'S. INVESTIGACIÓN'!AQ29</f>
        <v>0</v>
      </c>
      <c r="AR56" s="94">
        <f>'S. INVESTIGACIÓN'!AR29</f>
        <v>0</v>
      </c>
      <c r="AS56" s="99">
        <f>'S. INVESTIGACIÓN'!AS29</f>
        <v>0</v>
      </c>
      <c r="AT56" s="94">
        <f>'S. INVESTIGACIÓN'!AT29</f>
        <v>0</v>
      </c>
      <c r="AU56" s="363">
        <f t="shared" si="15"/>
        <v>0</v>
      </c>
      <c r="AV56" s="363">
        <f t="shared" si="21"/>
        <v>0</v>
      </c>
      <c r="AW56" s="363">
        <f t="shared" si="16"/>
        <v>0</v>
      </c>
      <c r="AX56" s="22" t="str">
        <f>'S. INVESTIGACIÓN'!AX29</f>
        <v>NO SE HA EJECUTADO EN ESTE TRIMESTRE - NO TIENE RECURSOS ASIGNADOS</v>
      </c>
    </row>
    <row r="57" spans="1:50" ht="22.5" customHeight="1" x14ac:dyDescent="0.25">
      <c r="A57" s="611"/>
      <c r="B57" s="610"/>
      <c r="C57" s="23" t="str">
        <f>Asignación!A51</f>
        <v>SI-PY6.3</v>
      </c>
      <c r="D57" s="258" t="str">
        <f>Asignación!B51</f>
        <v xml:space="preserve">Adquisión gestores bibliográficos. </v>
      </c>
      <c r="E57" s="23">
        <f>Asignación!C51</f>
        <v>410</v>
      </c>
      <c r="F57" s="4" t="s">
        <v>89</v>
      </c>
      <c r="G57" s="94">
        <f>'S. INVESTIGACIÓN'!G30</f>
        <v>10</v>
      </c>
      <c r="H57" s="5" t="str">
        <f>'S. INVESTIGACIÓN'!H30</f>
        <v>LICENCIAS VITALICIAS EDNOTE</v>
      </c>
      <c r="I57" s="5">
        <f>Asignación!K51</f>
        <v>0</v>
      </c>
      <c r="J57" s="5">
        <f>'S. INVESTIGACIÓN'!J30</f>
        <v>0</v>
      </c>
      <c r="K57" s="5">
        <f t="shared" si="17"/>
        <v>0</v>
      </c>
      <c r="L57" s="94">
        <f>'S. INVESTIGACIÓN'!L30</f>
        <v>0</v>
      </c>
      <c r="M57" s="94">
        <f>'S. INVESTIGACIÓN'!M30</f>
        <v>0</v>
      </c>
      <c r="N57" s="94">
        <f>'S. INVESTIGACIÓN'!N30</f>
        <v>0</v>
      </c>
      <c r="O57" s="94">
        <f>'S. INVESTIGACIÓN'!O30</f>
        <v>0</v>
      </c>
      <c r="P57" s="94">
        <f>'S. INVESTIGACIÓN'!P30</f>
        <v>0</v>
      </c>
      <c r="Q57" s="94">
        <f>'S. INVESTIGACIÓN'!Q30</f>
        <v>0</v>
      </c>
      <c r="R57" s="94">
        <f>'S. INVESTIGACIÓN'!R30</f>
        <v>0</v>
      </c>
      <c r="S57" s="267">
        <f t="shared" si="1"/>
        <v>0</v>
      </c>
      <c r="T57" s="267">
        <f t="shared" si="18"/>
        <v>0</v>
      </c>
      <c r="U57" s="267">
        <f t="shared" si="14"/>
        <v>0</v>
      </c>
      <c r="V57" s="22" t="str">
        <f>'S. INVESTIGACIÓN'!V30</f>
        <v>NO SE HA EJECUTADO EN ESTE TRIMESTRE - NO TIENE RECURSOS ASIGNADOS</v>
      </c>
      <c r="W57" s="5">
        <f>'S. INVESTIGACIÓN'!W30</f>
        <v>0</v>
      </c>
      <c r="X57" s="5">
        <f>'S. INVESTIGACIÓN'!X30</f>
        <v>0</v>
      </c>
      <c r="Y57" s="5">
        <f t="shared" si="19"/>
        <v>0</v>
      </c>
      <c r="Z57" s="94">
        <f>'S. INVESTIGACIÓN'!Z30</f>
        <v>0</v>
      </c>
      <c r="AA57" s="99">
        <f>'S. INVESTIGACIÓN'!AA30</f>
        <v>0</v>
      </c>
      <c r="AB57" s="94">
        <f>'S. INVESTIGACIÓN'!AB30</f>
        <v>0</v>
      </c>
      <c r="AC57" s="99">
        <f>'S. INVESTIGACIÓN'!AC30</f>
        <v>0</v>
      </c>
      <c r="AD57" s="94">
        <f>'S. INVESTIGACIÓN'!AD30</f>
        <v>0</v>
      </c>
      <c r="AE57" s="99">
        <f>'S. INVESTIGACIÓN'!AE30</f>
        <v>0</v>
      </c>
      <c r="AF57" s="94">
        <f>'S. INVESTIGACIÓN'!AF30</f>
        <v>0</v>
      </c>
      <c r="AG57" s="249">
        <f t="shared" si="4"/>
        <v>0</v>
      </c>
      <c r="AH57" s="249">
        <f t="shared" si="20"/>
        <v>0</v>
      </c>
      <c r="AI57" s="249">
        <f t="shared" si="6"/>
        <v>0</v>
      </c>
      <c r="AJ57" s="22" t="str">
        <f>'S. INVESTIGACIÓN'!AJ30</f>
        <v>NO SE HA EJECUTADO EN ESTE TRIMESTRE - NO TIENE RECURSOS ASIGNADOS</v>
      </c>
      <c r="AK57" s="5">
        <f>'S. INVESTIGACIÓN'!AK30</f>
        <v>0</v>
      </c>
      <c r="AL57" s="5">
        <f>'S. INVESTIGACIÓN'!AL30</f>
        <v>0</v>
      </c>
      <c r="AM57" s="5">
        <f>'S. INVESTIGACIÓN'!AM30</f>
        <v>0</v>
      </c>
      <c r="AN57" s="5">
        <f>'S. INVESTIGACIÓN'!AN30</f>
        <v>0</v>
      </c>
      <c r="AO57" s="99">
        <f>'S. INVESTIGACIÓN'!AO30</f>
        <v>0</v>
      </c>
      <c r="AP57" s="94">
        <f>'S. INVESTIGACIÓN'!AP30</f>
        <v>0</v>
      </c>
      <c r="AQ57" s="99">
        <f>'S. INVESTIGACIÓN'!AQ30</f>
        <v>0</v>
      </c>
      <c r="AR57" s="94">
        <f>'S. INVESTIGACIÓN'!AR30</f>
        <v>0</v>
      </c>
      <c r="AS57" s="99">
        <f>'S. INVESTIGACIÓN'!AS30</f>
        <v>0</v>
      </c>
      <c r="AT57" s="94">
        <f>'S. INVESTIGACIÓN'!AT30</f>
        <v>0</v>
      </c>
      <c r="AU57" s="363">
        <f t="shared" si="15"/>
        <v>0</v>
      </c>
      <c r="AV57" s="363">
        <f t="shared" si="21"/>
        <v>0</v>
      </c>
      <c r="AW57" s="363">
        <f t="shared" si="16"/>
        <v>0</v>
      </c>
      <c r="AX57" s="22" t="str">
        <f>'S. INVESTIGACIÓN'!AX30</f>
        <v>NO SE HA EJECUTADO EN ESTE TRIMESTRE - NO TIENE RECURSOS ASIGNADOS</v>
      </c>
    </row>
    <row r="58" spans="1:50" ht="36" customHeight="1" x14ac:dyDescent="0.25">
      <c r="A58" s="611"/>
      <c r="B58" s="610"/>
      <c r="C58" s="23" t="str">
        <f>Asignación!A52</f>
        <v>SI-PY6.4</v>
      </c>
      <c r="D58" s="258" t="str">
        <f>Asignación!B52</f>
        <v>Apoyo para la gestión de la investigación  a traves de membresias (ASEUC, EULAC, ABEC, DOI).</v>
      </c>
      <c r="E58" s="23">
        <f>Asignación!C52</f>
        <v>410</v>
      </c>
      <c r="F58" s="4" t="s">
        <v>89</v>
      </c>
      <c r="G58" s="94" t="str">
        <f>'S. INVESTIGACIÓN'!G31</f>
        <v>6 DOI PARA 6 REVISTAS (ES COMO LA CEDULA EN LA WEB DE LAS REVISTAS), 1 MEMBRESIA ASEUC</v>
      </c>
      <c r="H58" s="5" t="str">
        <f>'S. INVESTIGACIÓN'!H31</f>
        <v>YA SE CUMPLIO DOI YA SE TIENEN PARA 6 REVISTAS, LA ASEUC YA SE PAGÓ POR OTRO RUBRO</v>
      </c>
      <c r="I58" s="5">
        <f>Asignación!K52</f>
        <v>0</v>
      </c>
      <c r="J58" s="5">
        <f>'S. INVESTIGACIÓN'!J31</f>
        <v>0</v>
      </c>
      <c r="K58" s="5">
        <f t="shared" si="17"/>
        <v>0</v>
      </c>
      <c r="L58" s="94">
        <f>'S. INVESTIGACIÓN'!L31</f>
        <v>0</v>
      </c>
      <c r="M58" s="94">
        <f>'S. INVESTIGACIÓN'!M31</f>
        <v>0</v>
      </c>
      <c r="N58" s="94">
        <f>'S. INVESTIGACIÓN'!N31</f>
        <v>0</v>
      </c>
      <c r="O58" s="94">
        <f>'S. INVESTIGACIÓN'!O31</f>
        <v>0</v>
      </c>
      <c r="P58" s="94">
        <f>'S. INVESTIGACIÓN'!P31</f>
        <v>0</v>
      </c>
      <c r="Q58" s="94">
        <f>'S. INVESTIGACIÓN'!Q31</f>
        <v>0</v>
      </c>
      <c r="R58" s="94">
        <f>'S. INVESTIGACIÓN'!R31</f>
        <v>0</v>
      </c>
      <c r="S58" s="267">
        <f t="shared" si="1"/>
        <v>0</v>
      </c>
      <c r="T58" s="267">
        <f t="shared" si="18"/>
        <v>0</v>
      </c>
      <c r="U58" s="267">
        <f t="shared" si="14"/>
        <v>0</v>
      </c>
      <c r="V58" s="22" t="str">
        <f>'S. INVESTIGACIÓN'!V31</f>
        <v>NO SE HA EJECUTADO EN ESTE TRIMESTRE - NO TIENE RECURSOS ASIGNADOS</v>
      </c>
      <c r="W58" s="5">
        <f>'S. INVESTIGACIÓN'!W31</f>
        <v>0</v>
      </c>
      <c r="X58" s="5">
        <f>'S. INVESTIGACIÓN'!X31</f>
        <v>0</v>
      </c>
      <c r="Y58" s="5">
        <f t="shared" si="19"/>
        <v>0</v>
      </c>
      <c r="Z58" s="94">
        <f>'S. INVESTIGACIÓN'!Z31</f>
        <v>0</v>
      </c>
      <c r="AA58" s="99">
        <f>'S. INVESTIGACIÓN'!AA31</f>
        <v>0</v>
      </c>
      <c r="AB58" s="94">
        <f>'S. INVESTIGACIÓN'!AB31</f>
        <v>0</v>
      </c>
      <c r="AC58" s="99">
        <f>'S. INVESTIGACIÓN'!AC31</f>
        <v>0</v>
      </c>
      <c r="AD58" s="94">
        <f>'S. INVESTIGACIÓN'!AD31</f>
        <v>0</v>
      </c>
      <c r="AE58" s="99">
        <f>'S. INVESTIGACIÓN'!AE31</f>
        <v>0</v>
      </c>
      <c r="AF58" s="94">
        <f>'S. INVESTIGACIÓN'!AF31</f>
        <v>0</v>
      </c>
      <c r="AG58" s="249">
        <f t="shared" si="4"/>
        <v>0</v>
      </c>
      <c r="AH58" s="249">
        <f t="shared" si="20"/>
        <v>0</v>
      </c>
      <c r="AI58" s="249">
        <f t="shared" si="6"/>
        <v>0</v>
      </c>
      <c r="AJ58" s="22" t="str">
        <f>'S. INVESTIGACIÓN'!AJ31</f>
        <v>NO SE HA EJECUTADO EN ESTE TRIMESTRE - NO TIENE RECURSOS ASIGNADOS</v>
      </c>
      <c r="AK58" s="5">
        <f>'S. INVESTIGACIÓN'!AK31</f>
        <v>0</v>
      </c>
      <c r="AL58" s="5">
        <f>'S. INVESTIGACIÓN'!AL31</f>
        <v>0</v>
      </c>
      <c r="AM58" s="5">
        <f>'S. INVESTIGACIÓN'!AM31</f>
        <v>0</v>
      </c>
      <c r="AN58" s="5">
        <f>'S. INVESTIGACIÓN'!AN31</f>
        <v>0</v>
      </c>
      <c r="AO58" s="99">
        <f>'S. INVESTIGACIÓN'!AO31</f>
        <v>0</v>
      </c>
      <c r="AP58" s="94">
        <f>'S. INVESTIGACIÓN'!AP31</f>
        <v>0</v>
      </c>
      <c r="AQ58" s="99">
        <f>'S. INVESTIGACIÓN'!AQ31</f>
        <v>0</v>
      </c>
      <c r="AR58" s="94">
        <f>'S. INVESTIGACIÓN'!AR31</f>
        <v>0</v>
      </c>
      <c r="AS58" s="99">
        <f>'S. INVESTIGACIÓN'!AS31</f>
        <v>0</v>
      </c>
      <c r="AT58" s="94">
        <f>'S. INVESTIGACIÓN'!AT31</f>
        <v>0</v>
      </c>
      <c r="AU58" s="363">
        <f t="shared" si="15"/>
        <v>0</v>
      </c>
      <c r="AV58" s="363">
        <f t="shared" si="21"/>
        <v>0</v>
      </c>
      <c r="AW58" s="363">
        <f t="shared" si="16"/>
        <v>0</v>
      </c>
      <c r="AX58" s="22" t="str">
        <f>'S. INVESTIGACIÓN'!AX31</f>
        <v>NO SE HA EJECUTADO EN ESTE TRIMESTRE - NO TIENE RECURSOS ASIGNADOS</v>
      </c>
    </row>
    <row r="59" spans="1:50" ht="132" customHeight="1" x14ac:dyDescent="0.25">
      <c r="A59" s="611" t="s">
        <v>85</v>
      </c>
      <c r="B59" s="610" t="s">
        <v>173</v>
      </c>
      <c r="C59" s="23" t="str">
        <f>Asignación!A53</f>
        <v>SI-PY7.1</v>
      </c>
      <c r="D59" s="258" t="str">
        <f>Asignación!B53</f>
        <v>Adquisión  base datos especializadas para investigación.</v>
      </c>
      <c r="E59" s="23">
        <f>Asignación!C53</f>
        <v>410</v>
      </c>
      <c r="F59" s="4" t="s">
        <v>89</v>
      </c>
      <c r="G59" s="94">
        <f>'S. INVESTIGACIÓN'!G32</f>
        <v>1</v>
      </c>
      <c r="H59" s="5" t="str">
        <f>'S. INVESTIGACIÓN'!H32</f>
        <v>ACTUALIZACIÓN DEL SISTEMA KOHA EN BIBLIOTECA USCO</v>
      </c>
      <c r="I59" s="5">
        <f>Asignación!K53</f>
        <v>0</v>
      </c>
      <c r="J59" s="5">
        <f>'S. INVESTIGACIÓN'!J32</f>
        <v>0</v>
      </c>
      <c r="K59" s="5">
        <f t="shared" si="17"/>
        <v>0</v>
      </c>
      <c r="L59" s="94">
        <f>'S. INVESTIGACIÓN'!L32</f>
        <v>0</v>
      </c>
      <c r="M59" s="94">
        <f>'S. INVESTIGACIÓN'!M32</f>
        <v>0</v>
      </c>
      <c r="N59" s="94">
        <f>'S. INVESTIGACIÓN'!N32</f>
        <v>0</v>
      </c>
      <c r="O59" s="94">
        <f>'S. INVESTIGACIÓN'!O32</f>
        <v>0</v>
      </c>
      <c r="P59" s="94">
        <f>'S. INVESTIGACIÓN'!P32</f>
        <v>0</v>
      </c>
      <c r="Q59" s="94">
        <f>'S. INVESTIGACIÓN'!Q32</f>
        <v>0</v>
      </c>
      <c r="R59" s="94">
        <f>'S. INVESTIGACIÓN'!R32</f>
        <v>0</v>
      </c>
      <c r="S59" s="267">
        <f t="shared" si="1"/>
        <v>0</v>
      </c>
      <c r="T59" s="267">
        <f t="shared" si="18"/>
        <v>0</v>
      </c>
      <c r="U59" s="267">
        <f t="shared" si="14"/>
        <v>0</v>
      </c>
      <c r="V59" s="22" t="str">
        <f>'S. INVESTIGACIÓN'!V32</f>
        <v>NO SE HA EJECUTADO EN ESTE TRIMESTRE - NO TIENE RECURSOS ASIGNADOS</v>
      </c>
      <c r="W59" s="5">
        <f>'S. INVESTIGACIÓN'!W32</f>
        <v>1000000</v>
      </c>
      <c r="X59" s="5">
        <f>'S. INVESTIGACIÓN'!X32</f>
        <v>0</v>
      </c>
      <c r="Y59" s="5">
        <f t="shared" si="19"/>
        <v>1000000</v>
      </c>
      <c r="Z59" s="94">
        <f>'S. INVESTIGACIÓN'!Z32</f>
        <v>0</v>
      </c>
      <c r="AA59" s="99">
        <f>'S. INVESTIGACIÓN'!AA32</f>
        <v>0</v>
      </c>
      <c r="AB59" s="94">
        <f>'S. INVESTIGACIÓN'!AB32</f>
        <v>0</v>
      </c>
      <c r="AC59" s="99">
        <f>'S. INVESTIGACIÓN'!AC32</f>
        <v>0</v>
      </c>
      <c r="AD59" s="94">
        <f>'S. INVESTIGACIÓN'!AD32</f>
        <v>0</v>
      </c>
      <c r="AE59" s="99">
        <f>'S. INVESTIGACIÓN'!AE32</f>
        <v>0</v>
      </c>
      <c r="AF59" s="94">
        <f>'S. INVESTIGACIÓN'!AF32</f>
        <v>0</v>
      </c>
      <c r="AG59" s="249">
        <f t="shared" si="4"/>
        <v>0</v>
      </c>
      <c r="AH59" s="249">
        <f t="shared" si="20"/>
        <v>0</v>
      </c>
      <c r="AI59" s="249">
        <f t="shared" si="6"/>
        <v>0</v>
      </c>
      <c r="AJ59" s="22" t="str">
        <f>'S. INVESTIGACIÓN'!AJ32</f>
        <v>PENDIENTE 4TO TRIMESTRE POR CONTRATAR</v>
      </c>
      <c r="AK59" s="5">
        <f>'S. INVESTIGACIÓN'!AK32</f>
        <v>1000000</v>
      </c>
      <c r="AL59" s="5">
        <f>'S. INVESTIGACIÓN'!AL32</f>
        <v>0</v>
      </c>
      <c r="AM59" s="5">
        <f>'S. INVESTIGACIÓN'!AM32</f>
        <v>1000000</v>
      </c>
      <c r="AN59" s="5">
        <f>'S. INVESTIGACIÓN'!AN32</f>
        <v>0</v>
      </c>
      <c r="AO59" s="99">
        <f>'S. INVESTIGACIÓN'!AO32</f>
        <v>0</v>
      </c>
      <c r="AP59" s="94">
        <f>'S. INVESTIGACIÓN'!AP32</f>
        <v>0</v>
      </c>
      <c r="AQ59" s="99">
        <f>'S. INVESTIGACIÓN'!AQ32</f>
        <v>0</v>
      </c>
      <c r="AR59" s="94">
        <f>'S. INVESTIGACIÓN'!AR32</f>
        <v>0</v>
      </c>
      <c r="AS59" s="99">
        <f>'S. INVESTIGACIÓN'!AS32</f>
        <v>0</v>
      </c>
      <c r="AT59" s="94">
        <f>'S. INVESTIGACIÓN'!AT32</f>
        <v>0</v>
      </c>
      <c r="AU59" s="363">
        <f t="shared" si="15"/>
        <v>0</v>
      </c>
      <c r="AV59" s="363">
        <f t="shared" si="21"/>
        <v>0</v>
      </c>
      <c r="AW59" s="363">
        <f t="shared" si="16"/>
        <v>0</v>
      </c>
      <c r="AX59" s="22" t="str">
        <f>'S. INVESTIGACIÓN'!AX32</f>
        <v>PENDIENTE 4TO TRIMESTRE POR CONTRATAR</v>
      </c>
    </row>
    <row r="60" spans="1:50" s="28" customFormat="1" ht="65.25" customHeight="1" x14ac:dyDescent="0.25">
      <c r="A60" s="611"/>
      <c r="B60" s="610"/>
      <c r="C60" s="23" t="str">
        <f>Asignación!A54</f>
        <v>SI-PY7.2</v>
      </c>
      <c r="D60" s="258" t="str">
        <f>Asignación!B54</f>
        <v>Apoyo a centro de documentación archivistica.</v>
      </c>
      <c r="E60" s="23">
        <f>Asignación!C54</f>
        <v>410</v>
      </c>
      <c r="F60" s="4" t="s">
        <v>89</v>
      </c>
      <c r="G60" s="94" t="str">
        <f>'S. INVESTIGACIÓN'!G33</f>
        <v>TOTALIDAD DEL ARCHIVO, DOS PROCESOS</v>
      </c>
      <c r="H60" s="5" t="str">
        <f>'S. INVESTIGACIÓN'!H33</f>
        <v>YA SE HIZO, SE ORGANIZO EL ARCHIVO DE INVESTIGACIÓN Y PROYECCIÓN SOCIAL</v>
      </c>
      <c r="I60" s="5">
        <f>Asignación!K54</f>
        <v>0</v>
      </c>
      <c r="J60" s="5">
        <f>'S. INVESTIGACIÓN'!J33</f>
        <v>0</v>
      </c>
      <c r="K60" s="5">
        <f t="shared" si="17"/>
        <v>0</v>
      </c>
      <c r="L60" s="94">
        <f>'S. INVESTIGACIÓN'!L33</f>
        <v>0</v>
      </c>
      <c r="M60" s="94">
        <f>'S. INVESTIGACIÓN'!M33</f>
        <v>0</v>
      </c>
      <c r="N60" s="94">
        <f>'S. INVESTIGACIÓN'!N33</f>
        <v>0</v>
      </c>
      <c r="O60" s="94">
        <f>'S. INVESTIGACIÓN'!O33</f>
        <v>0</v>
      </c>
      <c r="P60" s="94">
        <f>'S. INVESTIGACIÓN'!P33</f>
        <v>0</v>
      </c>
      <c r="Q60" s="94">
        <f>'S. INVESTIGACIÓN'!Q33</f>
        <v>0</v>
      </c>
      <c r="R60" s="94">
        <f>'S. INVESTIGACIÓN'!R33</f>
        <v>0</v>
      </c>
      <c r="S60" s="267">
        <f t="shared" si="1"/>
        <v>0</v>
      </c>
      <c r="T60" s="267">
        <f t="shared" si="18"/>
        <v>0</v>
      </c>
      <c r="U60" s="267">
        <f t="shared" si="14"/>
        <v>0</v>
      </c>
      <c r="V60" s="22" t="str">
        <f>'S. INVESTIGACIÓN'!V33</f>
        <v>NO SE HA EJECUTADO EN ESTE TRIMESTRE - NO TIENE RECURSOS ASIGNADOS</v>
      </c>
      <c r="W60" s="5">
        <f>'S. INVESTIGACIÓN'!W33</f>
        <v>0</v>
      </c>
      <c r="X60" s="5">
        <f>'S. INVESTIGACIÓN'!X33</f>
        <v>0</v>
      </c>
      <c r="Y60" s="5">
        <f t="shared" si="19"/>
        <v>0</v>
      </c>
      <c r="Z60" s="94">
        <f>'S. INVESTIGACIÓN'!Z33</f>
        <v>0</v>
      </c>
      <c r="AA60" s="99">
        <f>'S. INVESTIGACIÓN'!AA33</f>
        <v>0</v>
      </c>
      <c r="AB60" s="94">
        <f>'S. INVESTIGACIÓN'!AB33</f>
        <v>0</v>
      </c>
      <c r="AC60" s="99">
        <f>'S. INVESTIGACIÓN'!AC33</f>
        <v>0</v>
      </c>
      <c r="AD60" s="94">
        <f>'S. INVESTIGACIÓN'!AD33</f>
        <v>0</v>
      </c>
      <c r="AE60" s="99">
        <f>'S. INVESTIGACIÓN'!AE33</f>
        <v>0</v>
      </c>
      <c r="AF60" s="94">
        <f>'S. INVESTIGACIÓN'!AF33</f>
        <v>0</v>
      </c>
      <c r="AG60" s="249">
        <f t="shared" si="4"/>
        <v>0</v>
      </c>
      <c r="AH60" s="249">
        <f t="shared" si="20"/>
        <v>0</v>
      </c>
      <c r="AI60" s="249">
        <f t="shared" si="6"/>
        <v>0</v>
      </c>
      <c r="AJ60" s="22" t="str">
        <f>'S. INVESTIGACIÓN'!AJ33</f>
        <v>NO SE HA EJECUTADO EN ESTE TRIMESTRE - NO TIENE RECURSOS ASIGNADOS</v>
      </c>
      <c r="AK60" s="5">
        <f>'S. INVESTIGACIÓN'!AK33</f>
        <v>0</v>
      </c>
      <c r="AL60" s="5">
        <f>'S. INVESTIGACIÓN'!AL33</f>
        <v>0</v>
      </c>
      <c r="AM60" s="5">
        <f>'S. INVESTIGACIÓN'!AM33</f>
        <v>0</v>
      </c>
      <c r="AN60" s="5">
        <f>'S. INVESTIGACIÓN'!AN33</f>
        <v>0</v>
      </c>
      <c r="AO60" s="99">
        <f>'S. INVESTIGACIÓN'!AO33</f>
        <v>0</v>
      </c>
      <c r="AP60" s="94">
        <f>'S. INVESTIGACIÓN'!AP33</f>
        <v>0</v>
      </c>
      <c r="AQ60" s="99">
        <f>'S. INVESTIGACIÓN'!AQ33</f>
        <v>0</v>
      </c>
      <c r="AR60" s="94">
        <f>'S. INVESTIGACIÓN'!AR33</f>
        <v>0</v>
      </c>
      <c r="AS60" s="99">
        <f>'S. INVESTIGACIÓN'!AS33</f>
        <v>0</v>
      </c>
      <c r="AT60" s="94">
        <f>'S. INVESTIGACIÓN'!AT33</f>
        <v>0</v>
      </c>
      <c r="AU60" s="363">
        <f t="shared" si="15"/>
        <v>0</v>
      </c>
      <c r="AV60" s="363">
        <f t="shared" si="21"/>
        <v>0</v>
      </c>
      <c r="AW60" s="363">
        <f t="shared" si="16"/>
        <v>0</v>
      </c>
      <c r="AX60" s="22" t="str">
        <f>'S. INVESTIGACIÓN'!AX33</f>
        <v>NO SE HA EJECUTADO EN ESTE TRIMESTRE - NO TIENE RECURSOS ASIGNADOS</v>
      </c>
    </row>
    <row r="61" spans="1:50" ht="49.5" customHeight="1" x14ac:dyDescent="0.25">
      <c r="A61" s="611"/>
      <c r="B61" s="610" t="s">
        <v>180</v>
      </c>
      <c r="C61" s="23" t="str">
        <f>Asignación!A55</f>
        <v>SI-PY8.1</v>
      </c>
      <c r="D61" s="258" t="str">
        <f>Asignación!B55</f>
        <v>Apoyo a la creación y fortalecimiento de centros de investigación y vigilancia tecnológica e innovación.</v>
      </c>
      <c r="E61" s="23">
        <f>Asignación!C55</f>
        <v>410</v>
      </c>
      <c r="F61" s="4" t="s">
        <v>89</v>
      </c>
      <c r="G61" s="94">
        <f>'S. INVESTIGACIÓN'!G34</f>
        <v>1</v>
      </c>
      <c r="H61" s="5" t="str">
        <f>'S. INVESTIGACIÓN'!H34</f>
        <v>CENTRO TECNOLOGICO DE  LAS TICS</v>
      </c>
      <c r="I61" s="5">
        <f>Asignación!K55</f>
        <v>50000000</v>
      </c>
      <c r="J61" s="5">
        <f>'S. INVESTIGACIÓN'!J34</f>
        <v>29825607</v>
      </c>
      <c r="K61" s="5">
        <f t="shared" si="17"/>
        <v>20174393</v>
      </c>
      <c r="L61" s="94">
        <f>'S. INVESTIGACIÓN'!L34</f>
        <v>0</v>
      </c>
      <c r="M61" s="94">
        <f>'S. INVESTIGACIÓN'!M34</f>
        <v>0</v>
      </c>
      <c r="N61" s="94">
        <f>'S. INVESTIGACIÓN'!N34</f>
        <v>3</v>
      </c>
      <c r="O61" s="94">
        <f>'S. INVESTIGACIÓN'!O34</f>
        <v>3</v>
      </c>
      <c r="P61" s="94">
        <f>'S. INVESTIGACIÓN'!P34</f>
        <v>1</v>
      </c>
      <c r="Q61" s="94">
        <f>'S. INVESTIGACIÓN'!Q34</f>
        <v>1</v>
      </c>
      <c r="R61" s="94">
        <f>'S. INVESTIGACIÓN'!R34</f>
        <v>4</v>
      </c>
      <c r="S61" s="267">
        <f t="shared" si="1"/>
        <v>0.59651213999999997</v>
      </c>
      <c r="T61" s="267">
        <f t="shared" si="18"/>
        <v>4</v>
      </c>
      <c r="U61" s="267">
        <f t="shared" si="14"/>
        <v>2.2982560699999999</v>
      </c>
      <c r="V61" s="22" t="str">
        <f>'S. INVESTIGACIÓN'!V34</f>
        <v>Apoyo a la creación y fortalecimiento de centros de investigación y vigilancia tecnológica e innovación: 
1 - Facultad Economía y Admón. (CESPOSUR): CONTRATO VIPS 049-A2017
2 - Facultad Ingeniería (CESURCAFE): AVANCE No. 031, CONTRATO VIPS 090-A2017, ORDEN ADMINISTRATIVA No. 007, AVANCE No. 044
3 - Facultad Educación (CIECE): ORDEN ADMINISTRATIVA No. 021
4 - Facultad de Ciencias Sociales (CIS): CONTRATO VIPS 059-A2017</v>
      </c>
      <c r="W61" s="5">
        <f>'S. INVESTIGACIÓN'!W34</f>
        <v>80000000</v>
      </c>
      <c r="X61" s="5">
        <f>'S. INVESTIGACIÓN'!X34</f>
        <v>52507535</v>
      </c>
      <c r="Y61" s="5">
        <f t="shared" si="19"/>
        <v>27492465</v>
      </c>
      <c r="Z61" s="94">
        <f>'S. INVESTIGACIÓN'!Z34</f>
        <v>0</v>
      </c>
      <c r="AA61" s="99">
        <f>'S. INVESTIGACIÓN'!AA34</f>
        <v>0</v>
      </c>
      <c r="AB61" s="94">
        <f>'S. INVESTIGACIÓN'!AB34</f>
        <v>1</v>
      </c>
      <c r="AC61" s="99">
        <f>'S. INVESTIGACIÓN'!AC34</f>
        <v>1</v>
      </c>
      <c r="AD61" s="94">
        <f>'S. INVESTIGACIÓN'!AD34</f>
        <v>0</v>
      </c>
      <c r="AE61" s="99">
        <f>'S. INVESTIGACIÓN'!AE34</f>
        <v>0</v>
      </c>
      <c r="AF61" s="94">
        <f>'S. INVESTIGACIÓN'!AF34</f>
        <v>1</v>
      </c>
      <c r="AG61" s="249">
        <f t="shared" si="4"/>
        <v>0.65634418750000001</v>
      </c>
      <c r="AH61" s="249">
        <f t="shared" si="20"/>
        <v>1</v>
      </c>
      <c r="AI61" s="249">
        <f t="shared" si="6"/>
        <v>0.82817209375</v>
      </c>
      <c r="AJ61" s="22" t="str">
        <f>'S. INVESTIGACIÓN'!AJ34</f>
        <v>Apoyo a la creación y fortalecimiento de centros de investigación y vigilancia tecnológica e innovación: 
1 - Facultad de salud (CENISALUD): CONTRATO VIPS 140-A2017</v>
      </c>
      <c r="AK61" s="5">
        <f>'S. INVESTIGACIÓN'!AK34</f>
        <v>80000000</v>
      </c>
      <c r="AL61" s="5">
        <f>'S. INVESTIGACIÓN'!AL34</f>
        <v>60413557</v>
      </c>
      <c r="AM61" s="5">
        <f>'S. INVESTIGACIÓN'!AM34</f>
        <v>19586443</v>
      </c>
      <c r="AN61" s="5">
        <f>'S. INVESTIGACIÓN'!AN34</f>
        <v>0</v>
      </c>
      <c r="AO61" s="99">
        <f>'S. INVESTIGACIÓN'!AO34</f>
        <v>0</v>
      </c>
      <c r="AP61" s="94">
        <f>'S. INVESTIGACIÓN'!AP34</f>
        <v>0</v>
      </c>
      <c r="AQ61" s="99">
        <f>'S. INVESTIGACIÓN'!AQ34</f>
        <v>0</v>
      </c>
      <c r="AR61" s="94">
        <f>'S. INVESTIGACIÓN'!AR34</f>
        <v>0</v>
      </c>
      <c r="AS61" s="99">
        <f>'S. INVESTIGACIÓN'!AS34</f>
        <v>0</v>
      </c>
      <c r="AT61" s="94">
        <f>'S. INVESTIGACIÓN'!AT34</f>
        <v>0</v>
      </c>
      <c r="AU61" s="363">
        <f t="shared" si="15"/>
        <v>0.75516946250000005</v>
      </c>
      <c r="AV61" s="363">
        <f t="shared" si="21"/>
        <v>0</v>
      </c>
      <c r="AW61" s="363">
        <f t="shared" si="16"/>
        <v>0.37758473125000003</v>
      </c>
      <c r="AX61" s="22" t="str">
        <f>'S. INVESTIGACIÓN'!AX34</f>
        <v>YA SE CUMPLIÓ LA META, SE CONTINÚAN APOYANDO LOS 5 CENTROS DE INVESTIGACIÓN (QUEDA PENDIENTE POR EJECUCIÓN CINFADE Y FACECIEN)</v>
      </c>
    </row>
    <row r="62" spans="1:50" ht="33.75" customHeight="1" x14ac:dyDescent="0.25">
      <c r="A62" s="611"/>
      <c r="B62" s="610"/>
      <c r="C62" s="23" t="str">
        <f>Asignación!A56</f>
        <v>SI-PY8.2</v>
      </c>
      <c r="D62" s="258" t="str">
        <f>Asignación!B56</f>
        <v>Apoyo a Proyectos de Investigación ejecutados por los Centros de Desarrollo Tecnológicos.</v>
      </c>
      <c r="E62" s="23">
        <f>Asignación!C56</f>
        <v>410</v>
      </c>
      <c r="F62" s="4" t="s">
        <v>186</v>
      </c>
      <c r="G62" s="94">
        <f>'S. INVESTIGACIÓN'!G35</f>
        <v>1</v>
      </c>
      <c r="H62" s="5" t="str">
        <f>'S. INVESTIGACIÓN'!H35</f>
        <v>PROYECTOS BANCO DE PROYECTOS</v>
      </c>
      <c r="I62" s="5">
        <f>Asignación!K56</f>
        <v>55000000</v>
      </c>
      <c r="J62" s="5">
        <f>'S. INVESTIGACIÓN'!J35</f>
        <v>0</v>
      </c>
      <c r="K62" s="5">
        <f t="shared" si="17"/>
        <v>55000000</v>
      </c>
      <c r="L62" s="94">
        <f>'S. INVESTIGACIÓN'!L35</f>
        <v>0</v>
      </c>
      <c r="M62" s="94">
        <f>'S. INVESTIGACIÓN'!M35</f>
        <v>0</v>
      </c>
      <c r="N62" s="94">
        <f>'S. INVESTIGACIÓN'!N35</f>
        <v>0</v>
      </c>
      <c r="O62" s="94">
        <f>'S. INVESTIGACIÓN'!O35</f>
        <v>0</v>
      </c>
      <c r="P62" s="94">
        <f>'S. INVESTIGACIÓN'!P35</f>
        <v>0.25</v>
      </c>
      <c r="Q62" s="94">
        <f>'S. INVESTIGACIÓN'!Q35</f>
        <v>0.25</v>
      </c>
      <c r="R62" s="94">
        <f>'S. INVESTIGACIÓN'!R35</f>
        <v>0.25</v>
      </c>
      <c r="S62" s="267">
        <f t="shared" si="1"/>
        <v>0</v>
      </c>
      <c r="T62" s="267">
        <f t="shared" si="18"/>
        <v>0.25</v>
      </c>
      <c r="U62" s="267">
        <f t="shared" si="14"/>
        <v>0.125</v>
      </c>
      <c r="V62" s="22" t="str">
        <f>'S. INVESTIGACIÓN'!V35</f>
        <v>Se apoyó en la gestión y el avance de los proyectos que se realizan con el Banco de Proyectos, elaborados hasta el momento, aproximadamente en un 50% de los proyectos.</v>
      </c>
      <c r="W62" s="5">
        <f>'S. INVESTIGACIÓN'!W35</f>
        <v>50000000</v>
      </c>
      <c r="X62" s="5">
        <f>'S. INVESTIGACIÓN'!X35</f>
        <v>29999999</v>
      </c>
      <c r="Y62" s="5">
        <f t="shared" si="19"/>
        <v>20000001</v>
      </c>
      <c r="Z62" s="94">
        <f>'S. INVESTIGACIÓN'!Z35</f>
        <v>0</v>
      </c>
      <c r="AA62" s="99">
        <f>'S. INVESTIGACIÓN'!AA35</f>
        <v>0</v>
      </c>
      <c r="AB62" s="94">
        <f>'S. INVESTIGACIÓN'!AB35</f>
        <v>0</v>
      </c>
      <c r="AC62" s="99">
        <f>'S. INVESTIGACIÓN'!AC35</f>
        <v>0</v>
      </c>
      <c r="AD62" s="94">
        <f>'S. INVESTIGACIÓN'!AD35</f>
        <v>0.25</v>
      </c>
      <c r="AE62" s="99">
        <f>'S. INVESTIGACIÓN'!AE35</f>
        <v>0.25</v>
      </c>
      <c r="AF62" s="94">
        <f>'S. INVESTIGACIÓN'!AF35</f>
        <v>0.25</v>
      </c>
      <c r="AG62" s="249">
        <f t="shared" si="4"/>
        <v>0.59999997999999999</v>
      </c>
      <c r="AH62" s="249">
        <f t="shared" si="20"/>
        <v>0.25</v>
      </c>
      <c r="AI62" s="249">
        <f t="shared" si="6"/>
        <v>0.42499998999999999</v>
      </c>
      <c r="AJ62" s="22" t="str">
        <f>'S. INVESTIGACIÓN'!AJ35</f>
        <v>Se apoyó en la gestión y el avance de los proyectos que se realizan con el Banco de Proyectos, elaborados hasta el momento, aproximadamente en un 50% de los proyectos:
1 - Implementación de la oferta de educación virtual  en la Universidad Surcolombiana para aumentar la tasa de cobertura bruta en educación superior en todo el Departamento del Huila (LCMS FASE II)
2 - Innovación de productos agrobiológicos para desarrollar suelos sanos disminución del impacto de plagas y enfermedades en los cultivos de ( Cholupa, Mora, Aguacate y Cacao) para el incremento de la productividad y competitividad del sector agrícola en el departamento del Huila.
3 - Diseño e implementación de un sistema de información y comunicación integral e interoperable en salud para el diagnóstico, seguimiento análisis y procesamiento de datos en el marco de E-Salud para el Departamento del Huila.
4 - Investigación y fortalecimiento de las capacidades en Ciencia tecnología en innovación para el control del Dengue en todo el Departamento del Huila.
5 - Proyecto implementación de un sistema Biofloc como alternativa de producción sostenible de la tilapia (Oreochromis SP), en la zona rural de Neiva.
6 - Mejorar los niveles de valor agregado en la cadena productiva y de comercialización de cafés especiales en el Departamento del Huila.
7 - Construcción y puesta en marcha del hogar juvenil campesino del Municipio de Paicol
8 - Estrategia para el desarrollo del sector turístico en el municipio de Paicol
9 - Implementación y puesta en marcha del observatorio de suelos para mejorar la competitividad del Departamento del Huila
10 - Implementación y puesta en marcha del programa piloto de bilingüismo para el desarrollo de la apuesta productiva de turismo en salud en la Universidad Surcolombiana.
11 - Estrategia de reactivación de la comercialización Nacional e Internacional del sector frutícola mediante la creación de la marca única de frutas del departamento del Huila.
12 - Análisis de los factores (Genético, Nutricional, Transporte, sacrificio y Maduración) que influyen en los diferentes procesos para la obtención de carne de excelente calidad a partir de razas criollas Colombianas ( Sanmartinero, Artón del Valle, Romosinuano y el Caqueteño) pertenecientes a la región del Huila y del Caquetá.
13 - Diagnóstico para establecer el potencial de uso energético a partir de fuentes no convencionales de energía renovable en el Departamento del Huila.
14 - Investigación aplicada y transferencia tecnológica en el área de biotecnología de las pasifloras en el Departamento del Huila para generación de valor agregado, funcional y comercial.
15 - Proyecto construcción nuevo campus de la Universidad Surcolombiana para potenciar el desarrollo regional con educación superior de calidad en todo el Departamento del Huila, centro oriente.
16 - Sistema de educación con equidad y responsabilidad SEER de la Universidad Surcolombiana " Proyecto para cierre de brechas en equidad e inclusión social a través de la educación superior.
17 - Proyecto implementación de punto Vive Digital Lab Neiva.
18 - Proyecto LCMS  Fase I (Learning Content Manager Sistem). Implementación de la plataforma LCMS en la Universidad Surcolombiana, para aumentar la tasa de cobertura bruta de educación superior en todo el Departamento del Huila.
19 - Centro de desarrollo Minero energético del Departamento del Huila ( CEDE MINERHUILA).
20 - Construcción nuevo campus de la Universidad Surcolombiana para potenciar el Desarrollo regional con educación superior de Calidad en Todo el Departamento del Huila.</v>
      </c>
      <c r="AK62" s="5">
        <f>'S. INVESTIGACIÓN'!AK35</f>
        <v>50000000</v>
      </c>
      <c r="AL62" s="5">
        <f>'S. INVESTIGACIÓN'!AL35</f>
        <v>41108562</v>
      </c>
      <c r="AM62" s="5">
        <f>'S. INVESTIGACIÓN'!AM35</f>
        <v>8891438</v>
      </c>
      <c r="AN62" s="5">
        <f>'S. INVESTIGACIÓN'!AN35</f>
        <v>0</v>
      </c>
      <c r="AO62" s="99">
        <f>'S. INVESTIGACIÓN'!AO35</f>
        <v>0</v>
      </c>
      <c r="AP62" s="94">
        <f>'S. INVESTIGACIÓN'!AP35</f>
        <v>0</v>
      </c>
      <c r="AQ62" s="99">
        <f>'S. INVESTIGACIÓN'!AQ35</f>
        <v>0</v>
      </c>
      <c r="AR62" s="94">
        <f>'S. INVESTIGACIÓN'!AR35</f>
        <v>0.5</v>
      </c>
      <c r="AS62" s="99">
        <f>'S. INVESTIGACIÓN'!AS35</f>
        <v>0.5</v>
      </c>
      <c r="AT62" s="94">
        <f>'S. INVESTIGACIÓN'!AT35</f>
        <v>0.5</v>
      </c>
      <c r="AU62" s="363">
        <f t="shared" si="15"/>
        <v>0.82217123999999997</v>
      </c>
      <c r="AV62" s="363">
        <f t="shared" si="21"/>
        <v>0.5</v>
      </c>
      <c r="AW62" s="363">
        <f t="shared" si="16"/>
        <v>0.66108561999999993</v>
      </c>
      <c r="AX62" s="22" t="str">
        <f>'S. INVESTIGACIÓN'!AX35</f>
        <v xml:space="preserve">PROYECOS BANCO DE PROYECTOS: 
 - BANCO DE PROYECTOS GPE: 17 PROYECTOS (100%) CON POSIBILIDADES DE HACER 2 PROYECTOS MÁS 
 - BANCO DE PROYECTOS INVESTIGACIÓN: 165 PROYECTOS, SE ESTÁN EJECUTANDO 88. (100%)
 - BANCO DE PROYECTOS PROYECCIÓN SOCIAL: 61 PROYECTOS, SE ESTÁN EJECUTANDO 44. (100%) </v>
      </c>
    </row>
    <row r="63" spans="1:50" ht="51.75" customHeight="1" x14ac:dyDescent="0.25">
      <c r="A63" s="611"/>
      <c r="B63" s="610" t="s">
        <v>187</v>
      </c>
      <c r="C63" s="23" t="str">
        <f>Asignación!A57</f>
        <v>SI-PY9.1</v>
      </c>
      <c r="D63" s="258" t="str">
        <f>Asignación!B57</f>
        <v xml:space="preserve">Evaluación de artículos, corrección de estilo, diseño, diagramación, impresión y publicación de revistas institucionales. </v>
      </c>
      <c r="E63" s="23">
        <f>Asignación!C57</f>
        <v>410</v>
      </c>
      <c r="F63" s="4" t="s">
        <v>190</v>
      </c>
      <c r="G63" s="357">
        <f>'S. INVESTIGACIÓN'!G36</f>
        <v>4</v>
      </c>
      <c r="H63" s="5" t="str">
        <f>'S. INVESTIGACIÓN'!H36</f>
        <v>REVISTAS INSTITUCIONALES</v>
      </c>
      <c r="I63" s="5">
        <f>Asignación!K57</f>
        <v>40000000</v>
      </c>
      <c r="J63" s="5">
        <f>'S. INVESTIGACIÓN'!J36</f>
        <v>0</v>
      </c>
      <c r="K63" s="5">
        <f t="shared" si="17"/>
        <v>40000000</v>
      </c>
      <c r="L63" s="94">
        <f>'S. INVESTIGACIÓN'!L36</f>
        <v>0</v>
      </c>
      <c r="M63" s="94">
        <f>'S. INVESTIGACIÓN'!M36</f>
        <v>0</v>
      </c>
      <c r="N63" s="94">
        <f>'S. INVESTIGACIÓN'!N36</f>
        <v>0</v>
      </c>
      <c r="O63" s="94">
        <f>'S. INVESTIGACIÓN'!O36</f>
        <v>0</v>
      </c>
      <c r="P63" s="94">
        <f>'S. INVESTIGACIÓN'!P36</f>
        <v>0</v>
      </c>
      <c r="Q63" s="94">
        <f>'S. INVESTIGACIÓN'!Q36</f>
        <v>0</v>
      </c>
      <c r="R63" s="94">
        <f>'S. INVESTIGACIÓN'!R36</f>
        <v>0</v>
      </c>
      <c r="S63" s="267">
        <f t="shared" si="1"/>
        <v>0</v>
      </c>
      <c r="T63" s="267">
        <f t="shared" si="18"/>
        <v>0</v>
      </c>
      <c r="U63" s="267">
        <f t="shared" si="14"/>
        <v>0</v>
      </c>
      <c r="V63" s="22" t="str">
        <f>'S. INVESTIGACIÓN'!V36</f>
        <v>NO SE HA EJECUTADO EN ESTE TRIMESTRE</v>
      </c>
      <c r="W63" s="5">
        <f>'S. INVESTIGACIÓN'!W36</f>
        <v>40000000</v>
      </c>
      <c r="X63" s="5">
        <f>'S. INVESTIGACIÓN'!X36</f>
        <v>10266666</v>
      </c>
      <c r="Y63" s="5">
        <f t="shared" si="19"/>
        <v>29733334</v>
      </c>
      <c r="Z63" s="94">
        <f>'S. INVESTIGACIÓN'!Z36</f>
        <v>2</v>
      </c>
      <c r="AA63" s="99">
        <f>'S. INVESTIGACIÓN'!AA36</f>
        <v>0.5</v>
      </c>
      <c r="AB63" s="94">
        <f>'S. INVESTIGACIÓN'!AB36</f>
        <v>0</v>
      </c>
      <c r="AC63" s="99">
        <f>'S. INVESTIGACIÓN'!AC36</f>
        <v>0</v>
      </c>
      <c r="AD63" s="94">
        <f>'S. INVESTIGACIÓN'!AD36</f>
        <v>0</v>
      </c>
      <c r="AE63" s="99">
        <f>'S. INVESTIGACIÓN'!AE36</f>
        <v>0</v>
      </c>
      <c r="AF63" s="94">
        <f>'S. INVESTIGACIÓN'!AF36</f>
        <v>2</v>
      </c>
      <c r="AG63" s="249">
        <f t="shared" si="4"/>
        <v>0.25666665</v>
      </c>
      <c r="AH63" s="249">
        <f t="shared" si="20"/>
        <v>0.5</v>
      </c>
      <c r="AI63" s="249">
        <f t="shared" si="6"/>
        <v>0.378333325</v>
      </c>
      <c r="AJ63" s="22" t="str">
        <f>'S. INVESTIGACIÓN'!AJ36</f>
        <v>Se apoyó en la Evaluación de artículos, corrección de estilo, diseño, diagramación, impresión y publicación de revistas institucionales en:
1 - ASESORIA EN LA CORRECCION DE ESTILOS DE REVISTA INGENIERIA Y REGION: CONTRATO FI-005-A-2017
2 - APOYO A LA GESTION EN EL PROCESO DE CREACION Y FUNCIONAMIENTO DE LA REVISTA DE INVESTIGACION INDEXADA DE LA FEA: FACECONOMIA No. 020-2017A</v>
      </c>
      <c r="AK63" s="5">
        <f>'S. INVESTIGACIÓN'!AK36</f>
        <v>40000000</v>
      </c>
      <c r="AL63" s="5">
        <f>'S. INVESTIGACIÓN'!AL36</f>
        <v>15800000</v>
      </c>
      <c r="AM63" s="5">
        <f>'S. INVESTIGACIÓN'!AM36</f>
        <v>24200000</v>
      </c>
      <c r="AN63" s="5">
        <f>'S. INVESTIGACIÓN'!AN36</f>
        <v>0</v>
      </c>
      <c r="AO63" s="99">
        <f>'S. INVESTIGACIÓN'!AO36</f>
        <v>0</v>
      </c>
      <c r="AP63" s="94">
        <f>'S. INVESTIGACIÓN'!AP36</f>
        <v>0</v>
      </c>
      <c r="AQ63" s="99">
        <f>'S. INVESTIGACIÓN'!AQ36</f>
        <v>0</v>
      </c>
      <c r="AR63" s="94">
        <f>'S. INVESTIGACIÓN'!AR36</f>
        <v>0</v>
      </c>
      <c r="AS63" s="99">
        <f>'S. INVESTIGACIÓN'!AS36</f>
        <v>0</v>
      </c>
      <c r="AT63" s="94">
        <f>'S. INVESTIGACIÓN'!AT36</f>
        <v>0</v>
      </c>
      <c r="AU63" s="363">
        <f t="shared" si="15"/>
        <v>0.39500000000000002</v>
      </c>
      <c r="AV63" s="363">
        <f t="shared" si="21"/>
        <v>0</v>
      </c>
      <c r="AW63" s="363">
        <f t="shared" si="16"/>
        <v>0.19750000000000001</v>
      </c>
      <c r="AX63" s="22" t="str">
        <f>'S. INVESTIGACIÓN'!AX36</f>
        <v>PENDIENTE PARA EJECUTAR EL RESTANTE EN EL 4TO TRIMESTRE</v>
      </c>
    </row>
    <row r="64" spans="1:50" ht="42.75" customHeight="1" x14ac:dyDescent="0.25">
      <c r="A64" s="611"/>
      <c r="B64" s="610"/>
      <c r="C64" s="23" t="str">
        <f>Asignación!A58</f>
        <v>SI-PY9.2</v>
      </c>
      <c r="D64" s="258" t="str">
        <f>Asignación!B58</f>
        <v xml:space="preserve">Capacitación a editores de revistas científicas;  Taller escritura de artìculos cientìficos. </v>
      </c>
      <c r="E64" s="23">
        <f>Asignación!C58</f>
        <v>410</v>
      </c>
      <c r="F64" s="4" t="s">
        <v>89</v>
      </c>
      <c r="G64" s="94">
        <f>'S. INVESTIGACIÓN'!G37</f>
        <v>1</v>
      </c>
      <c r="H64" s="5" t="str">
        <f>'S. INVESTIGACIÓN'!H37</f>
        <v>CURSO</v>
      </c>
      <c r="I64" s="5">
        <f>Asignación!K58</f>
        <v>10000000</v>
      </c>
      <c r="J64" s="5">
        <f>'S. INVESTIGACIÓN'!J37</f>
        <v>1609073</v>
      </c>
      <c r="K64" s="5">
        <f t="shared" si="17"/>
        <v>8390927</v>
      </c>
      <c r="L64" s="94">
        <f>'S. INVESTIGACIÓN'!L37</f>
        <v>0</v>
      </c>
      <c r="M64" s="94">
        <f>'S. INVESTIGACIÓN'!M37</f>
        <v>0</v>
      </c>
      <c r="N64" s="94">
        <f>'S. INVESTIGACIÓN'!N37</f>
        <v>0</v>
      </c>
      <c r="O64" s="94">
        <f>'S. INVESTIGACIÓN'!O37</f>
        <v>0</v>
      </c>
      <c r="P64" s="94">
        <f>'S. INVESTIGACIÓN'!P37</f>
        <v>3</v>
      </c>
      <c r="Q64" s="94">
        <f>'S. INVESTIGACIÓN'!Q37</f>
        <v>3</v>
      </c>
      <c r="R64" s="94">
        <f>'S. INVESTIGACIÓN'!R37</f>
        <v>3</v>
      </c>
      <c r="S64" s="267">
        <f t="shared" si="1"/>
        <v>0.1609073</v>
      </c>
      <c r="T64" s="267">
        <f t="shared" si="18"/>
        <v>3</v>
      </c>
      <c r="U64" s="267">
        <f t="shared" si="14"/>
        <v>1.5804536499999999</v>
      </c>
      <c r="V64" s="22" t="str">
        <f>'S. INVESTIGACIÓN'!V37</f>
        <v>Se apoyó a la capacitación y desarrollo de 3 talleres para la formulación de la investigación:
1 - Taller: La Carpintería de la Escritura para la Investigación Nivel I (GRUPO 1): RESOLUCIÓN 029, RESOLUCIÓN 030
2 - Taller: La Carpintería de la Escritura para la Investigación Nivel II (GRUPO 1): AVANCE No. 053, GIOVANNI USGAME ZUBIETA - RESOLUCION No. 019
3 - Taller básico de ortografía para la enseñanza (GRUPO 1): RESOLUCIÓN 028</v>
      </c>
      <c r="W64" s="5">
        <f>'S. INVESTIGACIÓN'!W37</f>
        <v>10000000</v>
      </c>
      <c r="X64" s="5">
        <f>'S. INVESTIGACIÓN'!X37</f>
        <v>8093873</v>
      </c>
      <c r="Y64" s="5">
        <f t="shared" si="19"/>
        <v>1906127</v>
      </c>
      <c r="Z64" s="94">
        <f>'S. INVESTIGACIÓN'!Z37</f>
        <v>0</v>
      </c>
      <c r="AA64" s="99">
        <f>'S. INVESTIGACIÓN'!AA37</f>
        <v>0</v>
      </c>
      <c r="AB64" s="94">
        <f>'S. INVESTIGACIÓN'!AB37</f>
        <v>0</v>
      </c>
      <c r="AC64" s="99">
        <f>'S. INVESTIGACIÓN'!AC37</f>
        <v>0</v>
      </c>
      <c r="AD64" s="94">
        <f>'S. INVESTIGACIÓN'!AD37</f>
        <v>0</v>
      </c>
      <c r="AE64" s="99">
        <f>'S. INVESTIGACIÓN'!AE37</f>
        <v>0</v>
      </c>
      <c r="AF64" s="94">
        <f>'S. INVESTIGACIÓN'!AF37</f>
        <v>0</v>
      </c>
      <c r="AG64" s="249">
        <f t="shared" si="4"/>
        <v>0.80938730000000003</v>
      </c>
      <c r="AH64" s="249">
        <f t="shared" si="20"/>
        <v>0</v>
      </c>
      <c r="AI64" s="249">
        <f t="shared" si="6"/>
        <v>0.40469365000000002</v>
      </c>
      <c r="AJ64" s="22" t="str">
        <f>'S. INVESTIGACIÓN'!AJ37</f>
        <v>NO EJECUTADO ESTE TRIMESTRE</v>
      </c>
      <c r="AK64" s="5">
        <f>'S. INVESTIGACIÓN'!AK37</f>
        <v>10000000</v>
      </c>
      <c r="AL64" s="5">
        <f>'S. INVESTIGACIÓN'!AL37</f>
        <v>8093873</v>
      </c>
      <c r="AM64" s="5">
        <f>'S. INVESTIGACIÓN'!AM37</f>
        <v>1906127</v>
      </c>
      <c r="AN64" s="5">
        <f>'S. INVESTIGACIÓN'!AN37</f>
        <v>0</v>
      </c>
      <c r="AO64" s="99">
        <f>'S. INVESTIGACIÓN'!AO37</f>
        <v>0</v>
      </c>
      <c r="AP64" s="94">
        <f>'S. INVESTIGACIÓN'!AP37</f>
        <v>4</v>
      </c>
      <c r="AQ64" s="99">
        <f>'S. INVESTIGACIÓN'!AQ37</f>
        <v>4</v>
      </c>
      <c r="AR64" s="94">
        <f>'S. INVESTIGACIÓN'!AR37</f>
        <v>2</v>
      </c>
      <c r="AS64" s="99">
        <f>'S. INVESTIGACIÓN'!AS37</f>
        <v>2</v>
      </c>
      <c r="AT64" s="94">
        <f>'S. INVESTIGACIÓN'!AT37</f>
        <v>6</v>
      </c>
      <c r="AU64" s="363">
        <f t="shared" si="15"/>
        <v>0.80938730000000003</v>
      </c>
      <c r="AV64" s="363">
        <f t="shared" si="21"/>
        <v>6</v>
      </c>
      <c r="AW64" s="363">
        <f t="shared" si="16"/>
        <v>3.40469365</v>
      </c>
      <c r="AX64" s="22" t="str">
        <f>'S. INVESTIGACIÓN'!AX37</f>
        <v>Se apoyó a la capacitación y desarrollo de 6 talleres para la formulación de la investigación:
1 - Taller: La Carpintería de la Escritura para la Investigación Nivel I (GRUPO 2)
2 - Taller: La Carpintería de la Escritura para la Investigación Nivel II (GRUPO 2)
3 - Taller: La Carpintería de la Escritura para la Investigación Nivel III
4 - Taller básico de ortografía para la enseñanza (GRUPO 2)
5 - Taller permanente: búsqueda de la literatura científica y manejo de gestores bibliográficos 
6 - Taller: Formulación de Proyectos bajo la Metodología de Marco Lógico para diligenciar proyectos en -MGA</v>
      </c>
    </row>
    <row r="65" spans="1:50" ht="37.5" customHeight="1" x14ac:dyDescent="0.25">
      <c r="A65" s="611"/>
      <c r="B65" s="610"/>
      <c r="C65" s="23" t="str">
        <f>Asignación!A59</f>
        <v>SI-PY9.3</v>
      </c>
      <c r="D65" s="258" t="str">
        <f>Asignación!B59</f>
        <v xml:space="preserve">Evaluación, corrección estilo, diagramación  y publicación de libros en las diferentes modalidades.   </v>
      </c>
      <c r="E65" s="23">
        <f>Asignación!C59</f>
        <v>410</v>
      </c>
      <c r="F65" s="4" t="s">
        <v>89</v>
      </c>
      <c r="G65" s="357">
        <f>'S. INVESTIGACIÓN'!G38</f>
        <v>16</v>
      </c>
      <c r="H65" s="5" t="str">
        <f>'S. INVESTIGACIÓN'!H38</f>
        <v>LIBROS</v>
      </c>
      <c r="I65" s="5">
        <f>Asignación!K59</f>
        <v>130000000</v>
      </c>
      <c r="J65" s="5">
        <f>'S. INVESTIGACIÓN'!J38</f>
        <v>67688626</v>
      </c>
      <c r="K65" s="5">
        <f t="shared" si="17"/>
        <v>62311374</v>
      </c>
      <c r="L65" s="94">
        <f>'S. INVESTIGACIÓN'!L38</f>
        <v>0</v>
      </c>
      <c r="M65" s="94">
        <f>'S. INVESTIGACIÓN'!M38</f>
        <v>0</v>
      </c>
      <c r="N65" s="94">
        <f>'S. INVESTIGACIÓN'!N38</f>
        <v>2</v>
      </c>
      <c r="O65" s="94">
        <f>'S. INVESTIGACIÓN'!O38</f>
        <v>0.125</v>
      </c>
      <c r="P65" s="94">
        <f>'S. INVESTIGACIÓN'!P38</f>
        <v>8</v>
      </c>
      <c r="Q65" s="94">
        <f>'S. INVESTIGACIÓN'!Q38</f>
        <v>0.5</v>
      </c>
      <c r="R65" s="94">
        <f>'S. INVESTIGACIÓN'!R38</f>
        <v>10</v>
      </c>
      <c r="S65" s="267">
        <f t="shared" si="1"/>
        <v>0.52068173846153842</v>
      </c>
      <c r="T65" s="267">
        <f t="shared" si="18"/>
        <v>0.625</v>
      </c>
      <c r="U65" s="267">
        <f t="shared" si="14"/>
        <v>0.57284086923076916</v>
      </c>
      <c r="V65" s="22" t="str">
        <f>'S. INVESTIGACIÓN'!V38</f>
        <v>Evaluación, corrección estilo, diagramación  y publicación de libros en las diferentes modalidades.
1 - Evaluación Libro de Investigación: “Propuesta para la mejora de las facilidades de producción de un campo petrolero”: RESOLUCIÓN 002
2 - Diseño, diagramación e impresión de 6 libros producidos por la Editorial Universidad Surcolombiana con base en la Convocatoria para publicación de libros 2016-2017: CONTRATO VIPS 088-A2017
3 - Evaluación Libro de Investigación “El Arte de Escribir”: RESOLUCIÓN 018
4 - Evaluación Libro de Investigación “Manual de Practicas de Laboratorio de Microbiología”: RESOLUCIÓN 018
5 - Evaluación Libro de Investigación: “Reflexiones sobre la Teoría y la Historia del concepto de Ciudadanía”: RESOLUCIÓN 018</v>
      </c>
      <c r="W65" s="5">
        <f>'S. INVESTIGACIÓN'!W38</f>
        <v>130000000</v>
      </c>
      <c r="X65" s="5">
        <f>'S. INVESTIGACIÓN'!X38</f>
        <v>86207822</v>
      </c>
      <c r="Y65" s="5">
        <f t="shared" si="19"/>
        <v>43792178</v>
      </c>
      <c r="Z65" s="94">
        <f>'S. INVESTIGACIÓN'!Z38</f>
        <v>6</v>
      </c>
      <c r="AA65" s="99">
        <f>'S. INVESTIGACIÓN'!AA38</f>
        <v>0.375</v>
      </c>
      <c r="AB65" s="94">
        <f>'S. INVESTIGACIÓN'!AB38</f>
        <v>0</v>
      </c>
      <c r="AC65" s="99">
        <f>'S. INVESTIGACIÓN'!AC38</f>
        <v>0</v>
      </c>
      <c r="AD65" s="94">
        <f>'S. INVESTIGACIÓN'!AD38</f>
        <v>1</v>
      </c>
      <c r="AE65" s="99">
        <f>'S. INVESTIGACIÓN'!AE38</f>
        <v>6.25E-2</v>
      </c>
      <c r="AF65" s="94">
        <f>'S. INVESTIGACIÓN'!AF38</f>
        <v>7</v>
      </c>
      <c r="AG65" s="249">
        <f t="shared" si="4"/>
        <v>0.66313709230769236</v>
      </c>
      <c r="AH65" s="249">
        <f t="shared" si="20"/>
        <v>0.4375</v>
      </c>
      <c r="AI65" s="249">
        <f t="shared" si="6"/>
        <v>0.55031854615384623</v>
      </c>
      <c r="AJ65" s="22" t="str">
        <f>'S. INVESTIGACIÓN'!AJ38</f>
        <v>Evaluación, corrección estilo, diagramación  y publicación de libros en las diferentes modalidades:   
1 - SE APOYÓ CON EL PAGO ANTE LA CAMARA DEL LIBRO, DEL REGISTRO DE SEIS (06) ISBN Y CODIGOS DE BARRAS PARA LOS LIBROS PRONTOS A PUBLICAR
2 - Evaluación Libro de Investigación: • “Experiencias e innovaciones en la enseñanza de la biología y la formación docente. Tejiendo puentes entre Colombia y España”.</v>
      </c>
      <c r="AK65" s="5">
        <f>'S. INVESTIGACIÓN'!AK38</f>
        <v>130000000</v>
      </c>
      <c r="AL65" s="5">
        <f>'S. INVESTIGACIÓN'!AL38</f>
        <v>92139962</v>
      </c>
      <c r="AM65" s="5">
        <f>'S. INVESTIGACIÓN'!AM38</f>
        <v>37860038</v>
      </c>
      <c r="AN65" s="5">
        <f>'S. INVESTIGACIÓN'!AN38</f>
        <v>0</v>
      </c>
      <c r="AO65" s="99">
        <f>'S. INVESTIGACIÓN'!AO38</f>
        <v>0</v>
      </c>
      <c r="AP65" s="94">
        <f>'S. INVESTIGACIÓN'!AP38</f>
        <v>5</v>
      </c>
      <c r="AQ65" s="99">
        <f>'S. INVESTIGACIÓN'!AQ38</f>
        <v>0.3125</v>
      </c>
      <c r="AR65" s="94">
        <f>'S. INVESTIGACIÓN'!AR38</f>
        <v>0</v>
      </c>
      <c r="AS65" s="99">
        <f>'S. INVESTIGACIÓN'!AS38</f>
        <v>0</v>
      </c>
      <c r="AT65" s="94">
        <f>'S. INVESTIGACIÓN'!AT38</f>
        <v>5</v>
      </c>
      <c r="AU65" s="363">
        <f t="shared" si="15"/>
        <v>0.70876893846153843</v>
      </c>
      <c r="AV65" s="363">
        <f t="shared" si="21"/>
        <v>0.3125</v>
      </c>
      <c r="AW65" s="363">
        <f t="shared" si="16"/>
        <v>0.51063446923076916</v>
      </c>
      <c r="AX65" s="22" t="str">
        <f>'S. INVESTIGACIÓN'!AX38</f>
        <v>Evaluación, corrección estilo, diagramación  y publicación de libros en las diferentes modalidades:   
1 - Corrección de estilo del libro: EL PAISAJE URBANO DE NEIVA ENTRE LA MODERNIDAD Y LA MODERNIZACIÓN (1930-1950): CONTRATO VIPS 283-B2017
2 - Corrección de estilo del libro: VOCES DE UN PASADO VIVO: MEMORIAS DE LOSPROCESOS COMUNITARIOS DEL BARRIO LA LIBERTAD DE NEIVA ENTRE 1960-1984: CONTRATO VIPS 283-B2017
3 - Evaluación Libro de Investigación: “La cour constitutionnelle colombienne: un nouveau legislatur”: RESOLUCIÓN No. 067
4 - Evaluación Libro de Investigación: “Introducción a las series” y “Fundamentos de Geometria”: RESOLUCIÓN No. 067
5 - Evaluación Libro de Investigación: “La cour constitutionnelle colombienne: un nouveau legislatur”.( POR SEGUNDA VEZ): RESOLUCIÓN No. 067</v>
      </c>
    </row>
    <row r="66" spans="1:50" ht="30" customHeight="1" x14ac:dyDescent="0.25">
      <c r="A66" s="611"/>
      <c r="B66" s="610"/>
      <c r="C66" s="23" t="str">
        <f>Asignación!A60</f>
        <v>SI-PY9.4</v>
      </c>
      <c r="D66" s="258" t="str">
        <f>Asignación!B60</f>
        <v>Gestión para la indexación de revistas institucionales.</v>
      </c>
      <c r="E66" s="23">
        <f>Asignación!C60</f>
        <v>410</v>
      </c>
      <c r="F66" s="4" t="s">
        <v>89</v>
      </c>
      <c r="G66" s="94">
        <f>'S. INVESTIGACIÓN'!G39</f>
        <v>6</v>
      </c>
      <c r="H66" s="5" t="str">
        <f>'S. INVESTIGACIÓN'!H39</f>
        <v>SE ESTA GESTIONANDO LA INDEXACIÓN DE LAS 6 REVISTAS DE LAS NUEVAS NORMAS PUBLINDEX</v>
      </c>
      <c r="I66" s="5">
        <f>Asignación!K60</f>
        <v>25000000</v>
      </c>
      <c r="J66" s="5">
        <f>'S. INVESTIGACIÓN'!J39</f>
        <v>2478575</v>
      </c>
      <c r="K66" s="5">
        <f t="shared" si="17"/>
        <v>22521425</v>
      </c>
      <c r="L66" s="94">
        <f>'S. INVESTIGACIÓN'!L39</f>
        <v>0</v>
      </c>
      <c r="M66" s="94">
        <f>'S. INVESTIGACIÓN'!M39</f>
        <v>0</v>
      </c>
      <c r="N66" s="94">
        <f>'S. INVESTIGACIÓN'!N39</f>
        <v>0</v>
      </c>
      <c r="O66" s="94">
        <f>'S. INVESTIGACIÓN'!O39</f>
        <v>0</v>
      </c>
      <c r="P66" s="94">
        <f>'S. INVESTIGACIÓN'!P39</f>
        <v>0</v>
      </c>
      <c r="Q66" s="94">
        <f>'S. INVESTIGACIÓN'!Q39</f>
        <v>0</v>
      </c>
      <c r="R66" s="94">
        <f>'S. INVESTIGACIÓN'!R39</f>
        <v>0</v>
      </c>
      <c r="S66" s="267">
        <f t="shared" si="1"/>
        <v>9.9142999999999995E-2</v>
      </c>
      <c r="T66" s="267">
        <f t="shared" si="18"/>
        <v>0</v>
      </c>
      <c r="U66" s="267">
        <f t="shared" si="14"/>
        <v>4.9571499999999998E-2</v>
      </c>
      <c r="V66" s="22" t="str">
        <f>'S. INVESTIGACIÓN'!V39</f>
        <v>NO SE HA EJECUTADO EN ESTE TRIMESTRE</v>
      </c>
      <c r="W66" s="5">
        <f>'S. INVESTIGACIÓN'!W39</f>
        <v>25000000</v>
      </c>
      <c r="X66" s="5">
        <f>'S. INVESTIGACIÓN'!X39</f>
        <v>2478575</v>
      </c>
      <c r="Y66" s="5">
        <f t="shared" si="19"/>
        <v>22521425</v>
      </c>
      <c r="Z66" s="94">
        <f>'S. INVESTIGACIÓN'!Z39</f>
        <v>0</v>
      </c>
      <c r="AA66" s="99">
        <f>'S. INVESTIGACIÓN'!AA39</f>
        <v>0</v>
      </c>
      <c r="AB66" s="94">
        <f>'S. INVESTIGACIÓN'!AB39</f>
        <v>0</v>
      </c>
      <c r="AC66" s="99">
        <f>'S. INVESTIGACIÓN'!AC39</f>
        <v>0</v>
      </c>
      <c r="AD66" s="94">
        <f>'S. INVESTIGACIÓN'!AD39</f>
        <v>6</v>
      </c>
      <c r="AE66" s="99">
        <f>'S. INVESTIGACIÓN'!AE39</f>
        <v>1</v>
      </c>
      <c r="AF66" s="94">
        <f>'S. INVESTIGACIÓN'!AF39</f>
        <v>6</v>
      </c>
      <c r="AG66" s="249">
        <f t="shared" si="4"/>
        <v>9.9142999999999995E-2</v>
      </c>
      <c r="AH66" s="249">
        <f t="shared" si="20"/>
        <v>1</v>
      </c>
      <c r="AI66" s="249">
        <f t="shared" si="6"/>
        <v>0.54957149999999999</v>
      </c>
      <c r="AJ66" s="22" t="str">
        <f>'S. INVESTIGACIÓN'!AJ39</f>
        <v>SE ESTA GESTIONANDO LA INDEXACIÓN DE LAS 6 REVISTAS DE LAS NUEVAS NORMAS PUBLINDEX:
- Se estructuró el Comité de Editorial Revistas de la Universidad, 
- Se elaboró el procedimiento Editorial Revistas, de acuerdo a los lineamientos de Indexación para Colombia Publindex, 
- Se colocaron 6 revistas instiitucionales en el Open Journale System (OJS) - (100%)</v>
      </c>
      <c r="AK66" s="5">
        <f>'S. INVESTIGACIÓN'!AK39</f>
        <v>12449515</v>
      </c>
      <c r="AL66" s="5">
        <f>'S. INVESTIGACIÓN'!AL39</f>
        <v>12449514</v>
      </c>
      <c r="AM66" s="5">
        <f>'S. INVESTIGACIÓN'!AM39</f>
        <v>1</v>
      </c>
      <c r="AN66" s="5">
        <f>'S. INVESTIGACIÓN'!AN39</f>
        <v>0</v>
      </c>
      <c r="AO66" s="99">
        <f>'S. INVESTIGACIÓN'!AO39</f>
        <v>0</v>
      </c>
      <c r="AP66" s="94">
        <f>'S. INVESTIGACIÓN'!AP39</f>
        <v>0</v>
      </c>
      <c r="AQ66" s="99">
        <f>'S. INVESTIGACIÓN'!AQ39</f>
        <v>0</v>
      </c>
      <c r="AR66" s="94">
        <f>'S. INVESTIGACIÓN'!AR39</f>
        <v>0</v>
      </c>
      <c r="AS66" s="99">
        <f>'S. INVESTIGACIÓN'!AS39</f>
        <v>0</v>
      </c>
      <c r="AT66" s="94">
        <f>'S. INVESTIGACIÓN'!AT39</f>
        <v>0</v>
      </c>
      <c r="AU66" s="363">
        <f t="shared" si="15"/>
        <v>0.99999991967558577</v>
      </c>
      <c r="AV66" s="363">
        <f t="shared" si="21"/>
        <v>0</v>
      </c>
      <c r="AW66" s="363">
        <f t="shared" si="16"/>
        <v>0.49999995983779288</v>
      </c>
      <c r="AX66" s="22" t="str">
        <f>'S. INVESTIGACIÓN'!AX39</f>
        <v>Se contrata a GERMAN MAURICIO MONTEALEGRE CALDERÓN para Prestar servicios técnicos de apoyo a la gestión e implementación de estrategias de Mercado Digital de la Universidad Surcolombiana. Así, como el apoyo a los procesos de visibilización de la gestión de la administración central a través del Sistema de Comunicación. 
SE PUBLICA PRIMER TIRAJE REVISTA ERASMUS 110%</v>
      </c>
    </row>
    <row r="67" spans="1:50" ht="50.25" customHeight="1" x14ac:dyDescent="0.25">
      <c r="A67" s="611"/>
      <c r="B67" s="610"/>
      <c r="C67" s="23" t="str">
        <f>Asignación!A61</f>
        <v>SI-PY9.5</v>
      </c>
      <c r="D67" s="258" t="str">
        <f>Asignación!B61</f>
        <v>Apoyo a la consolidación de la editorial Surcolombiana y revistas institucionales.</v>
      </c>
      <c r="E67" s="23">
        <f>Asignación!C61</f>
        <v>410</v>
      </c>
      <c r="F67" s="4" t="s">
        <v>89</v>
      </c>
      <c r="G67" s="94">
        <f>'S. INVESTIGACIÓN'!G40</f>
        <v>6</v>
      </c>
      <c r="H67" s="5" t="str">
        <f>'S. INVESTIGACIÓN'!H40</f>
        <v>REVISTAS (SE ADQUIRIERON LOS DOI Y LA PLATAFORMA OJS</v>
      </c>
      <c r="I67" s="5">
        <f>Asignación!K61</f>
        <v>92267490</v>
      </c>
      <c r="J67" s="5">
        <f>'S. INVESTIGACIÓN'!J40</f>
        <v>37881867</v>
      </c>
      <c r="K67" s="5">
        <f t="shared" si="17"/>
        <v>54385623</v>
      </c>
      <c r="L67" s="94">
        <f>'S. INVESTIGACIÓN'!L40</f>
        <v>0</v>
      </c>
      <c r="M67" s="94">
        <f>'S. INVESTIGACIÓN'!M40</f>
        <v>0</v>
      </c>
      <c r="N67" s="94">
        <f>'S. INVESTIGACIÓN'!N40</f>
        <v>0</v>
      </c>
      <c r="O67" s="94">
        <f>'S. INVESTIGACIÓN'!O40</f>
        <v>0</v>
      </c>
      <c r="P67" s="94">
        <f>'S. INVESTIGACIÓN'!P40</f>
        <v>0</v>
      </c>
      <c r="Q67" s="94">
        <f>'S. INVESTIGACIÓN'!Q40</f>
        <v>0</v>
      </c>
      <c r="R67" s="94">
        <f>'S. INVESTIGACIÓN'!R40</f>
        <v>0</v>
      </c>
      <c r="S67" s="267">
        <f t="shared" si="1"/>
        <v>0.41056570412829047</v>
      </c>
      <c r="T67" s="267">
        <f t="shared" si="18"/>
        <v>0</v>
      </c>
      <c r="U67" s="267">
        <f t="shared" si="14"/>
        <v>0.20528285206414523</v>
      </c>
      <c r="V67" s="22" t="str">
        <f>'S. INVESTIGACIÓN'!V40</f>
        <v>SE ESTA GESTIONANDO EN PROCESO 
1 - Servicios profesionales de evaluación, selección, edición y distribución de libros publicados por la Editorial Universidad Surcolombiana: CONTRATO VIPS 028-A2017
2 - Servicios de apoyo a la gestión Administrativa en la Editorial Universidad Surcolombiana: CONTRATO VIPS 029-A2017</v>
      </c>
      <c r="W67" s="5">
        <f>'S. INVESTIGACIÓN'!W40</f>
        <v>92267490</v>
      </c>
      <c r="X67" s="5">
        <f>'S. INVESTIGACIÓN'!X40</f>
        <v>57356447</v>
      </c>
      <c r="Y67" s="5">
        <f t="shared" si="19"/>
        <v>34911043</v>
      </c>
      <c r="Z67" s="94">
        <f>'S. INVESTIGACIÓN'!Z40</f>
        <v>0</v>
      </c>
      <c r="AA67" s="99">
        <f>'S. INVESTIGACIÓN'!AA40</f>
        <v>0</v>
      </c>
      <c r="AB67" s="94">
        <f>'S. INVESTIGACIÓN'!AB40</f>
        <v>3</v>
      </c>
      <c r="AC67" s="99">
        <f>'S. INVESTIGACIÓN'!AC40</f>
        <v>0.5</v>
      </c>
      <c r="AD67" s="94">
        <f>'S. INVESTIGACIÓN'!AD40</f>
        <v>0</v>
      </c>
      <c r="AE67" s="99">
        <f>'S. INVESTIGACIÓN'!AE40</f>
        <v>0</v>
      </c>
      <c r="AF67" s="94">
        <f>'S. INVESTIGACIÓN'!AF40</f>
        <v>3</v>
      </c>
      <c r="AG67" s="249">
        <f t="shared" si="4"/>
        <v>0.62163224555040997</v>
      </c>
      <c r="AH67" s="249">
        <f t="shared" si="20"/>
        <v>0.5</v>
      </c>
      <c r="AI67" s="249">
        <f t="shared" si="6"/>
        <v>0.56081612277520498</v>
      </c>
      <c r="AJ67" s="22" t="str">
        <f>'S. INVESTIGACIÓN'!AJ40</f>
        <v>1 - Servicios de diseño, diagramacion e imprenta de la Revista de la Facultad de Salud.
2 - Servicio de impresión de la Revista Entornos Vol.29
3 - servicio de diseño, diagramación e impresión del vol 16, Revista Ingeniería y Región de la Facultad de ingeniera Universidad Surcolombiana.
- Se estructuró el Comité de Editorial Revistas de la Universidad, 
- Se elaboró el procedimiento Editorial Revistas, de acuerdo a los lineamientos de Indexación para Colombia Publindex, 
- Se colocaron 6 revistas instiitucionales en el Open Journale System (OJS)</v>
      </c>
      <c r="AK67" s="5">
        <f>'S. INVESTIGACIÓN'!AK40</f>
        <v>104817975</v>
      </c>
      <c r="AL67" s="5">
        <f>'S. INVESTIGACIÓN'!AL40</f>
        <v>104817975</v>
      </c>
      <c r="AM67" s="5">
        <f>'S. INVESTIGACIÓN'!AM40</f>
        <v>0</v>
      </c>
      <c r="AN67" s="5">
        <f>'S. INVESTIGACIÓN'!AN40</f>
        <v>0</v>
      </c>
      <c r="AO67" s="99">
        <f>'S. INVESTIGACIÓN'!AO40</f>
        <v>0</v>
      </c>
      <c r="AP67" s="94">
        <f>'S. INVESTIGACIÓN'!AP40</f>
        <v>0</v>
      </c>
      <c r="AQ67" s="99">
        <f>'S. INVESTIGACIÓN'!AQ40</f>
        <v>0</v>
      </c>
      <c r="AR67" s="94">
        <f>'S. INVESTIGACIÓN'!AR40</f>
        <v>3</v>
      </c>
      <c r="AS67" s="99">
        <f>'S. INVESTIGACIÓN'!AS40</f>
        <v>0.5</v>
      </c>
      <c r="AT67" s="94">
        <f>'S. INVESTIGACIÓN'!AT40</f>
        <v>3</v>
      </c>
      <c r="AU67" s="363">
        <f t="shared" si="15"/>
        <v>1</v>
      </c>
      <c r="AV67" s="363">
        <f t="shared" si="21"/>
        <v>0.5</v>
      </c>
      <c r="AW67" s="363">
        <f t="shared" si="16"/>
        <v>0.75</v>
      </c>
      <c r="AX67" s="22" t="str">
        <f>'S. INVESTIGACIÓN'!AX40</f>
        <v>SE GESTIONAN EN LA ACTUALIDAD 6 REVISTAS CON TODA LA INFRAESTRUCTURA EDITORIAL Y SE CREA UNA NUEVA REVISTA: REVISTA ERASMUS SEMILLEROS DE INVESTIGACIÓN  100%
-  Se contrata a MARCO ANTONIO CEBALLOS ALBARRACIN Prestar los servicios profesionales de evaluación, selección, edición y distribución de libros publicados por la Editorial Universidad Surcolombiana
Se apoyó la edición de 6 revistas institucionales</v>
      </c>
    </row>
    <row r="68" spans="1:50" ht="35.25" customHeight="1" x14ac:dyDescent="0.25">
      <c r="A68" s="611"/>
      <c r="B68" s="610"/>
      <c r="C68" s="23" t="str">
        <f>Asignación!A62</f>
        <v>SI-PY9.6</v>
      </c>
      <c r="D68" s="258" t="str">
        <f>Asignación!B62</f>
        <v>Fortalecimiento, consolidación y mejoramiento de la calidad editorial de la Revista Jurídica Piélagus.</v>
      </c>
      <c r="E68" s="23">
        <f>Asignación!C62</f>
        <v>410</v>
      </c>
      <c r="F68" s="4" t="s">
        <v>204</v>
      </c>
      <c r="G68" s="94">
        <f>'S. INVESTIGACIÓN'!G41</f>
        <v>1</v>
      </c>
      <c r="H68" s="5" t="str">
        <f>'S. INVESTIGACIÓN'!H41</f>
        <v>REVISTA</v>
      </c>
      <c r="I68" s="5">
        <f>Asignación!K62</f>
        <v>20000000</v>
      </c>
      <c r="J68" s="5">
        <f>'S. INVESTIGACIÓN'!J41</f>
        <v>11266667</v>
      </c>
      <c r="K68" s="5">
        <f t="shared" si="17"/>
        <v>8733333</v>
      </c>
      <c r="L68" s="94">
        <f>'S. INVESTIGACIÓN'!L41</f>
        <v>0</v>
      </c>
      <c r="M68" s="94">
        <f>'S. INVESTIGACIÓN'!M41</f>
        <v>0</v>
      </c>
      <c r="N68" s="94">
        <f>'S. INVESTIGACIÓN'!N41</f>
        <v>0</v>
      </c>
      <c r="O68" s="94">
        <f>'S. INVESTIGACIÓN'!O41</f>
        <v>0</v>
      </c>
      <c r="P68" s="94">
        <f>'S. INVESTIGACIÓN'!P41</f>
        <v>0</v>
      </c>
      <c r="Q68" s="94">
        <f>'S. INVESTIGACIÓN'!Q41</f>
        <v>0</v>
      </c>
      <c r="R68" s="94">
        <f>'S. INVESTIGACIÓN'!R41</f>
        <v>0</v>
      </c>
      <c r="S68" s="267">
        <f>IFERROR((J68/I68),0)</f>
        <v>0.56333334999999995</v>
      </c>
      <c r="T68" s="267">
        <f t="shared" si="18"/>
        <v>0</v>
      </c>
      <c r="U68" s="267">
        <f t="shared" si="14"/>
        <v>0.28166667499999998</v>
      </c>
      <c r="V68" s="22" t="str">
        <f>'S. INVESTIGACIÓN'!V41</f>
        <v>Se apoyó el Fortalecimiento, consolidación y mejoramiento de la calidad editorial de la Revista Jurídica Piélagus por lo que:
-Se estructuró el comité de Editorial Revistas de la Universidad, 
-se elaboro el procedimiento editorial revistas, de acuerdo a los lineamientos de Indexación para Colombia Publindex, 
-Se colocó la Revista Jurídica Piélagus en el Open Journale System (OJS) - (100%)</v>
      </c>
      <c r="W68" s="5">
        <f>'S. INVESTIGACIÓN'!W41</f>
        <v>25000000</v>
      </c>
      <c r="X68" s="5">
        <f>'S. INVESTIGACIÓN'!X41</f>
        <v>11266667</v>
      </c>
      <c r="Y68" s="5">
        <f t="shared" si="19"/>
        <v>13733333</v>
      </c>
      <c r="Z68" s="94">
        <f>'S. INVESTIGACIÓN'!Z41</f>
        <v>0</v>
      </c>
      <c r="AA68" s="99">
        <f>'S. INVESTIGACIÓN'!AA41</f>
        <v>0</v>
      </c>
      <c r="AB68" s="94">
        <f>'S. INVESTIGACIÓN'!AB41</f>
        <v>0</v>
      </c>
      <c r="AC68" s="99">
        <f>'S. INVESTIGACIÓN'!AC41</f>
        <v>0</v>
      </c>
      <c r="AD68" s="94">
        <f>'S. INVESTIGACIÓN'!AD41</f>
        <v>1</v>
      </c>
      <c r="AE68" s="99">
        <f>'S. INVESTIGACIÓN'!AE41</f>
        <v>1</v>
      </c>
      <c r="AF68" s="94">
        <f>'S. INVESTIGACIÓN'!AF41</f>
        <v>1</v>
      </c>
      <c r="AG68" s="249">
        <f>IFERROR((X68/W68),0)</f>
        <v>0.45066667999999999</v>
      </c>
      <c r="AH68" s="249">
        <f t="shared" si="20"/>
        <v>1</v>
      </c>
      <c r="AI68" s="249">
        <f t="shared" si="6"/>
        <v>0.72533333999999994</v>
      </c>
      <c r="AJ68" s="22" t="str">
        <f>'S. INVESTIGACIÓN'!AJ41</f>
        <v>Se apoyó el Fortalecimiento, consolidación y mejoramiento de la calidad editorial de la Revista Jurídica Piélagus por lo que:
-Se estructuró el comité de Editorial Revistas de la Universidad, 
-se elaboro el procedimiento editorial revistas, de acuerdo a los lineamientos de Indexación para Colombia Publindex, 
-Se colocó la Revista Jurídica Piélagus en el Open Journale System (OJS) - (100%)</v>
      </c>
      <c r="AK68" s="5">
        <f>'S. INVESTIGACIÓN'!AK41</f>
        <v>25000000</v>
      </c>
      <c r="AL68" s="5">
        <f>'S. INVESTIGACIÓN'!AL41</f>
        <v>22966667</v>
      </c>
      <c r="AM68" s="5">
        <f>'S. INVESTIGACIÓN'!AM41</f>
        <v>2033333</v>
      </c>
      <c r="AN68" s="5">
        <f>'S. INVESTIGACIÓN'!AN41</f>
        <v>0</v>
      </c>
      <c r="AO68" s="99">
        <f>'S. INVESTIGACIÓN'!AO41</f>
        <v>0</v>
      </c>
      <c r="AP68" s="94">
        <f>'S. INVESTIGACIÓN'!AP41</f>
        <v>0</v>
      </c>
      <c r="AQ68" s="99">
        <f>'S. INVESTIGACIÓN'!AQ41</f>
        <v>0</v>
      </c>
      <c r="AR68" s="94">
        <f>'S. INVESTIGACIÓN'!AR41</f>
        <v>0</v>
      </c>
      <c r="AS68" s="99">
        <f>'S. INVESTIGACIÓN'!AS41</f>
        <v>0</v>
      </c>
      <c r="AT68" s="94">
        <f>'S. INVESTIGACIÓN'!AT41</f>
        <v>0</v>
      </c>
      <c r="AU68" s="363">
        <f>IFERROR((AL68/AK68),0)</f>
        <v>0.91866667999999996</v>
      </c>
      <c r="AV68" s="363">
        <f t="shared" si="21"/>
        <v>0</v>
      </c>
      <c r="AW68" s="363">
        <f t="shared" si="16"/>
        <v>0.45933333999999998</v>
      </c>
      <c r="AX68" s="22" t="str">
        <f>'S. INVESTIGACIÓN'!AX41</f>
        <v xml:space="preserve"> - Un aspecto importante es que la revista jurídica Piélagus quedó semestralizado
 - Se está haciendo un proceso de evaluación para la edición de julio - diciembre 2017
 - Se está trabajando fuertemente para entrar con la indexación en las base de datos internacionales: Redalyc y SciELO, para obtener mayor visibilidad
 - Actualmente estamos en la base de datos EBSCOhost
 - Piélagus 2016 no esta indexada porque los tiempos no coincidian con la convocatoria de Colciencias, la revista tiene muy buenos elementos de calidad, todos los ítems cumplen.
 - El último ítem ajustado fue el relacionado con la endogamia, tenemos un nivel muy bajo de endogamia, la mayoría de los artículos de la revista son internacionales
 - La calidad editorial de la revista Piélagus está muy buena y muy posiblemente para la próxima indexación podríamos quedar nuevamente y de forma semestral
 - En esta categorización, indexación, la revista Piélaguses es la que tiene mas alto impacto, el índice de h de la revista es 4, es la que tiene el índice h más alto, esto significa que el índice de citación que tiene Piélagus es superior al de cualquier otra revista de la Universidad Surcolombiana, eso hace que creamos que va a tener un alto impacto y una categoría de indexación en la próxima convocatoria.</v>
      </c>
    </row>
    <row r="69" spans="1:50" s="17" customFormat="1" ht="22.5" customHeight="1" x14ac:dyDescent="0.25">
      <c r="A69" s="30"/>
      <c r="B69" s="526" t="s">
        <v>206</v>
      </c>
      <c r="C69" s="526"/>
      <c r="D69" s="526"/>
      <c r="E69" s="526"/>
      <c r="F69" s="14"/>
      <c r="G69" s="14"/>
      <c r="H69" s="14"/>
      <c r="I69" s="15">
        <f>SUM(I32:I68)</f>
        <v>6782038629</v>
      </c>
      <c r="J69" s="15">
        <f t="shared" ref="J69:K69" si="22">SUM(J32:J68)</f>
        <v>1613550876</v>
      </c>
      <c r="K69" s="15">
        <f t="shared" si="22"/>
        <v>5168487753</v>
      </c>
      <c r="L69" s="16"/>
      <c r="M69" s="16"/>
      <c r="N69" s="16"/>
      <c r="O69" s="16"/>
      <c r="P69" s="16"/>
      <c r="Q69" s="16"/>
      <c r="R69" s="16"/>
      <c r="S69" s="16"/>
      <c r="T69" s="16"/>
      <c r="U69" s="16">
        <f t="shared" si="14"/>
        <v>0</v>
      </c>
      <c r="V69" s="16"/>
      <c r="W69" s="15">
        <f>SUM(W32:W68)</f>
        <v>7127077871</v>
      </c>
      <c r="X69" s="15">
        <f>SUM(X32:X68)</f>
        <v>3075142429</v>
      </c>
      <c r="Y69" s="15">
        <f t="shared" ref="Y69" si="23">SUM(Y32:Y68)</f>
        <v>4051935442</v>
      </c>
      <c r="Z69" s="16"/>
      <c r="AA69" s="16"/>
      <c r="AB69" s="16"/>
      <c r="AC69" s="16"/>
      <c r="AD69" s="16"/>
      <c r="AE69" s="16"/>
      <c r="AF69" s="16"/>
      <c r="AG69" s="16"/>
      <c r="AH69" s="16"/>
      <c r="AI69" s="212">
        <f t="shared" si="6"/>
        <v>0</v>
      </c>
      <c r="AJ69" s="16"/>
      <c r="AK69" s="15">
        <f>SUM(AK32:AK68)</f>
        <v>7127077871</v>
      </c>
      <c r="AL69" s="15">
        <f>SUM(AL32:AL68)</f>
        <v>5153369682</v>
      </c>
      <c r="AM69" s="15">
        <f t="shared" ref="AM69" si="24">SUM(AM32:AM68)</f>
        <v>1973708189</v>
      </c>
      <c r="AN69" s="16"/>
      <c r="AO69" s="16"/>
      <c r="AP69" s="16"/>
      <c r="AQ69" s="16"/>
      <c r="AR69" s="16"/>
      <c r="AS69" s="16"/>
      <c r="AT69" s="16"/>
      <c r="AU69" s="16"/>
      <c r="AV69" s="16"/>
      <c r="AW69" s="16"/>
      <c r="AX69" s="16"/>
    </row>
    <row r="70" spans="1:50" ht="83.25" customHeight="1" x14ac:dyDescent="0.25">
      <c r="A70" s="620" t="s">
        <v>207</v>
      </c>
      <c r="B70" s="535" t="s">
        <v>208</v>
      </c>
      <c r="C70" s="26" t="str">
        <f>Asignación!A65</f>
        <v>SP-PY1.1</v>
      </c>
      <c r="D70" s="258" t="str">
        <f>Asignación!B65</f>
        <v>Apoyo a la movilidad académica de docentes, estudiantes y personal administrativo y expertos invitados.</v>
      </c>
      <c r="E70" s="26">
        <f>Asignación!C65</f>
        <v>520</v>
      </c>
      <c r="F70" s="248" t="s">
        <v>211</v>
      </c>
      <c r="G70" s="331">
        <f>'S. PROY. SOCIAL '!G4</f>
        <v>219</v>
      </c>
      <c r="H70" s="4" t="str">
        <f>'S. PROY. SOCIAL '!H4</f>
        <v>Apoyo Personas Movilidad Académica</v>
      </c>
      <c r="I70" s="5">
        <f>Asignación!K65</f>
        <v>162000000</v>
      </c>
      <c r="J70" s="5">
        <f>'S. PROY. SOCIAL '!J4</f>
        <v>57886200</v>
      </c>
      <c r="K70" s="5">
        <f>I70-J70</f>
        <v>104113800</v>
      </c>
      <c r="L70" s="233">
        <f>'S. PROY. SOCIAL '!L4</f>
        <v>6</v>
      </c>
      <c r="M70" s="271">
        <f>'S. PROY. SOCIAL '!M4</f>
        <v>2.7397260273972601E-2</v>
      </c>
      <c r="N70" s="262">
        <f>'S. PROY. SOCIAL '!N4</f>
        <v>11</v>
      </c>
      <c r="O70" s="271">
        <f>'S. PROY. SOCIAL '!O4</f>
        <v>5.0228310502283102E-2</v>
      </c>
      <c r="P70" s="262">
        <f>'S. PROY. SOCIAL '!P4</f>
        <v>13</v>
      </c>
      <c r="Q70" s="271">
        <f>'S. PROY. SOCIAL '!Q4</f>
        <v>5.9360730593607303E-2</v>
      </c>
      <c r="R70" s="262">
        <f>'S. PROY. SOCIAL '!R4</f>
        <v>30</v>
      </c>
      <c r="S70" s="267">
        <f>IFERROR((J70/I70),0)</f>
        <v>0.35732222222222221</v>
      </c>
      <c r="T70" s="267">
        <f>IFERROR((M70+O70+Q70),0)</f>
        <v>0.13698630136986301</v>
      </c>
      <c r="U70" s="267">
        <f t="shared" si="14"/>
        <v>0.24715426179604261</v>
      </c>
      <c r="V70" s="237" t="str">
        <f>'S. INVESTIGACIÓN'!V5</f>
        <v>1 - Compra de HPLC, PARA EL DESARROLLO DE ACTIVIDADES DEL PROYECTO “CAFES - Coffee From Advanced Fermentation, Engineering and Sensing” firmado entre la Universidad de Manchester, Universidad de los Andes y Universidad Surcolombiana: CONTRATO VIPS 095-A2017</v>
      </c>
      <c r="W70" s="5">
        <f>'S. PROY. SOCIAL '!W4</f>
        <v>175000000</v>
      </c>
      <c r="X70" s="5">
        <f>'S. PROY. SOCIAL '!X4</f>
        <v>128226411</v>
      </c>
      <c r="Y70" s="5">
        <f>'S. PROY. SOCIAL '!Y4</f>
        <v>46773589</v>
      </c>
      <c r="Z70" s="5">
        <f>'S. PROY. SOCIAL '!Z4</f>
        <v>5</v>
      </c>
      <c r="AA70" s="311">
        <f>'S. PROY. SOCIAL '!AA4</f>
        <v>2.2831050228310501E-2</v>
      </c>
      <c r="AB70" s="5">
        <f>'S. PROY. SOCIAL '!AB4</f>
        <v>15</v>
      </c>
      <c r="AC70" s="311">
        <f>'S. PROY. SOCIAL '!AC4</f>
        <v>6.8493150684931503E-2</v>
      </c>
      <c r="AD70" s="5">
        <f>'S. PROY. SOCIAL '!AD4</f>
        <v>2</v>
      </c>
      <c r="AE70" s="311">
        <f>'S. PROY. SOCIAL '!AE4</f>
        <v>9.1324200913242004E-3</v>
      </c>
      <c r="AF70" s="5">
        <f>'S. PROY. SOCIAL '!AF4</f>
        <v>22</v>
      </c>
      <c r="AG70" s="249">
        <f>IFERROR((X70/W70),0)</f>
        <v>0.73272234857142859</v>
      </c>
      <c r="AH70" s="249">
        <f>IFERROR((AA70+AC70+AE70),0)</f>
        <v>0.1004566210045662</v>
      </c>
      <c r="AI70" s="249">
        <f t="shared" si="6"/>
        <v>0.4165894847879974</v>
      </c>
      <c r="AJ70" s="97" t="str">
        <f>'S. PROY. SOCIAL '!AJ4</f>
        <v>Se Apoyo a 22 Personas para Movilidad Académica entre docentes, estudiantes y personal administrativo. (No todos los soportes reposan en la VIPS, Recursos ejecutados por excedentes de facultad)</v>
      </c>
      <c r="AK70" s="5">
        <f>'S. PROY. SOCIAL '!AK4</f>
        <v>175000000</v>
      </c>
      <c r="AL70" s="5">
        <f>'S. PROY. SOCIAL '!AL4</f>
        <v>147801431</v>
      </c>
      <c r="AM70" s="5">
        <f>'S. PROY. SOCIAL '!AM4</f>
        <v>27198569</v>
      </c>
      <c r="AN70" s="5">
        <f>'S. PROY. SOCIAL '!AN4</f>
        <v>112</v>
      </c>
      <c r="AO70" s="311">
        <f>'S. PROY. SOCIAL '!AO4</f>
        <v>0.51141552511415522</v>
      </c>
      <c r="AP70" s="5">
        <f>'S. PROY. SOCIAL '!AP4</f>
        <v>6</v>
      </c>
      <c r="AQ70" s="311">
        <f>'S. PROY. SOCIAL '!AQ4</f>
        <v>2.7397260273972601E-2</v>
      </c>
      <c r="AR70" s="5">
        <f>'S. PROY. SOCIAL '!AR4</f>
        <v>8</v>
      </c>
      <c r="AS70" s="311">
        <f>'S. PROY. SOCIAL '!AS4</f>
        <v>3.6529680365296802E-2</v>
      </c>
      <c r="AT70" s="5">
        <f>'S. PROY. SOCIAL '!AT4</f>
        <v>126</v>
      </c>
      <c r="AU70" s="363">
        <f>IFERROR((AL70/AK70),0)</f>
        <v>0.8445796057142857</v>
      </c>
      <c r="AV70" s="363">
        <f>IFERROR((AO70+AQ70+AS70),0)</f>
        <v>0.57534246575342463</v>
      </c>
      <c r="AW70" s="363">
        <f t="shared" si="16"/>
        <v>0.70996103573385516</v>
      </c>
      <c r="AX70" s="354" t="str">
        <f>'S. PROY. SOCIAL '!AX4</f>
        <v>Se Apoyo a 126 Personas para Movilidad Académica entre docentes, estudiantes y personal administrativo. (No todos los soportes reposan en la VIPS, algunos se pueden encontrar a través de los recursos ejecutados por excedentes de facultad y otros soportes en el COCERNI),  a continuación se relaciona una muestra equivalente al 10% del total.del trimestre:
1 - LUIS FERNANDO BONILLA CAMACHO
2 - LUIS ALEXANDER ROJAS TEJADA
3 - NUBIA MARITZA ALEJANDRO HERNANDEZ
4 - KARLA NOEMI JIMENEZ VENTURA
5 - ROCIO POLANIA FARFAN
6 - ANGEL MILLER ROA CRUZ
7 - CARLOS FERNANDO GOMEZ GARCIA
8 - FREDY HUMBERTO ESCOBAR
9 - LEIDY CAROLINA CUERVO
10 - GLORIA COTRINO TRUJILLO
11 - EDGAR COMETA GUARNIZO
12 - MARIA FERNANDA JAIME OSORO
13 - FRANCY HOLLMIN SALAS CONTRERAS</v>
      </c>
    </row>
    <row r="71" spans="1:50" ht="120" x14ac:dyDescent="0.25">
      <c r="A71" s="620"/>
      <c r="B71" s="536"/>
      <c r="C71" s="26" t="str">
        <f>Asignación!A66</f>
        <v>SP-PY1.2</v>
      </c>
      <c r="D71" s="258" t="str">
        <f>Asignación!B66</f>
        <v>Apoyo a la internacionalización de la investigación y la proyección social.</v>
      </c>
      <c r="E71" s="26">
        <f>Asignación!C66</f>
        <v>520</v>
      </c>
      <c r="F71" s="33" t="s">
        <v>214</v>
      </c>
      <c r="G71" s="331">
        <f>'S. PROY. SOCIAL '!G5</f>
        <v>7</v>
      </c>
      <c r="H71" s="210" t="str">
        <f>'S. PROY. SOCIAL '!H5</f>
        <v>APOYOS (PROFESORES QUE VAN Y HACEN LAS PONENCIAS)</v>
      </c>
      <c r="I71" s="5">
        <f>Asignación!K66</f>
        <v>7000000</v>
      </c>
      <c r="J71" s="5">
        <f>'S. PROY. SOCIAL '!J5</f>
        <v>0</v>
      </c>
      <c r="K71" s="5">
        <f t="shared" ref="K71:K100" si="25">I71-J71</f>
        <v>7000000</v>
      </c>
      <c r="L71" s="262">
        <f>'S. PROY. SOCIAL '!L5</f>
        <v>0</v>
      </c>
      <c r="M71" s="271">
        <f>'S. PROY. SOCIAL '!M5</f>
        <v>0</v>
      </c>
      <c r="N71" s="262">
        <f>'S. PROY. SOCIAL '!N5</f>
        <v>0</v>
      </c>
      <c r="O71" s="271">
        <f>'S. PROY. SOCIAL '!O5</f>
        <v>0</v>
      </c>
      <c r="P71" s="262">
        <f>'S. PROY. SOCIAL '!P5</f>
        <v>0</v>
      </c>
      <c r="Q71" s="271">
        <f>'S. PROY. SOCIAL '!Q5</f>
        <v>0</v>
      </c>
      <c r="R71" s="262">
        <f>'S. PROY. SOCIAL '!R5</f>
        <v>0</v>
      </c>
      <c r="S71" s="267">
        <f t="shared" ref="S71:S100" si="26">IFERROR((J71/I71),0)</f>
        <v>0</v>
      </c>
      <c r="T71" s="267">
        <f t="shared" ref="T71:T100" si="27">IFERROR((M71+O71+Q71),0)</f>
        <v>0</v>
      </c>
      <c r="U71" s="267">
        <f t="shared" si="14"/>
        <v>0</v>
      </c>
      <c r="V71" s="268" t="str">
        <f>'S. INVESTIGACIÓN'!V6</f>
        <v>NO SE HA EJECUTADO EN ESTE TRIMESTRE, PENDIENTE POR ADQUIRIR Y RENOVAR LICENCIAS</v>
      </c>
      <c r="W71" s="5">
        <f>'S. PROY. SOCIAL '!W5</f>
        <v>0</v>
      </c>
      <c r="X71" s="5">
        <f>'S. PROY. SOCIAL '!X5</f>
        <v>0</v>
      </c>
      <c r="Y71" s="5">
        <f>'S. PROY. SOCIAL '!Y5</f>
        <v>0</v>
      </c>
      <c r="Z71" s="5">
        <f>'S. PROY. SOCIAL '!Z5</f>
        <v>0</v>
      </c>
      <c r="AA71" s="311">
        <f>'S. PROY. SOCIAL '!AA5</f>
        <v>0</v>
      </c>
      <c r="AB71" s="5">
        <f>'S. PROY. SOCIAL '!AB5</f>
        <v>0</v>
      </c>
      <c r="AC71" s="311">
        <f>'S. PROY. SOCIAL '!AC5</f>
        <v>0</v>
      </c>
      <c r="AD71" s="5">
        <f>'S. PROY. SOCIAL '!AD5</f>
        <v>0</v>
      </c>
      <c r="AE71" s="311">
        <f>'S. PROY. SOCIAL '!AE5</f>
        <v>0</v>
      </c>
      <c r="AF71" s="5">
        <f>'S. PROY. SOCIAL '!AF5</f>
        <v>0</v>
      </c>
      <c r="AG71" s="249">
        <f t="shared" ref="AG71:AG100" si="28">IFERROR((X71/W71),0)</f>
        <v>0</v>
      </c>
      <c r="AH71" s="249">
        <f t="shared" ref="AH71:AH100" si="29">IFERROR((AA71+AC71+AE71),0)</f>
        <v>0</v>
      </c>
      <c r="AI71" s="249">
        <f t="shared" si="6"/>
        <v>0</v>
      </c>
      <c r="AJ71" s="268" t="str">
        <f>'S. PROY. SOCIAL '!AJ5</f>
        <v>Se redistribuyen los recursos asignados en las otras actividades del Plan de Acciòn.</v>
      </c>
      <c r="AK71" s="5">
        <f>'S. PROY. SOCIAL '!AK5</f>
        <v>0</v>
      </c>
      <c r="AL71" s="5">
        <f>'S. PROY. SOCIAL '!AL5</f>
        <v>0</v>
      </c>
      <c r="AM71" s="5">
        <f>'S. PROY. SOCIAL '!AM5</f>
        <v>0</v>
      </c>
      <c r="AN71" s="5">
        <f>'S. PROY. SOCIAL '!AN5</f>
        <v>2</v>
      </c>
      <c r="AO71" s="311">
        <f>'S. PROY. SOCIAL '!AO5</f>
        <v>0.2857142857142857</v>
      </c>
      <c r="AP71" s="5">
        <f>'S. PROY. SOCIAL '!AP5</f>
        <v>3</v>
      </c>
      <c r="AQ71" s="311">
        <f>'S. PROY. SOCIAL '!AQ5</f>
        <v>0.42857142857142855</v>
      </c>
      <c r="AR71" s="5">
        <f>'S. PROY. SOCIAL '!AR5</f>
        <v>2</v>
      </c>
      <c r="AS71" s="311">
        <f>'S. PROY. SOCIAL '!AS5</f>
        <v>0.2857142857142857</v>
      </c>
      <c r="AT71" s="5">
        <f>'S. PROY. SOCIAL '!AT5</f>
        <v>7</v>
      </c>
      <c r="AU71" s="363">
        <f t="shared" ref="AU71:AU82" si="30">IFERROR((AL71/AK71),0)</f>
        <v>0</v>
      </c>
      <c r="AV71" s="363">
        <f t="shared" ref="AV71:AV82" si="31">IFERROR((AO71+AQ71+AS71),0)</f>
        <v>0.99999999999999989</v>
      </c>
      <c r="AW71" s="363">
        <f t="shared" si="16"/>
        <v>0.49999999999999994</v>
      </c>
      <c r="AX71" s="354" t="str">
        <f>'S. PROY. SOCIAL '!AX5</f>
        <v>Se apoyaron a 8 docentes para realizar ponencias:
- DANIEL SUESCUN DIAZ
- ALESSANDRO BERMEO DIAZ
- JASSLEIDY LASSO CONDE
- CLAUDIA PATRICIA CANTILLO
- BRAYANT ANDRADE MENDEZ
- HERNANDO GIL TOVAR
- ALFREDIS GONZALEZ HERNANDEZ</v>
      </c>
    </row>
    <row r="72" spans="1:50" ht="47.25" customHeight="1" x14ac:dyDescent="0.25">
      <c r="A72" s="620"/>
      <c r="B72" s="544"/>
      <c r="C72" s="26" t="str">
        <f>Asignación!A67</f>
        <v>SP-PY1.3</v>
      </c>
      <c r="D72" s="258" t="str">
        <f>Asignación!B67</f>
        <v>Apoyo a los procesos y fortalecimiento de alianzas académico-administrativas entre la Universidad y organismos públicos y privados.</v>
      </c>
      <c r="E72" s="26">
        <f>Asignación!C67</f>
        <v>520</v>
      </c>
      <c r="F72" s="248" t="s">
        <v>72</v>
      </c>
      <c r="G72" s="331">
        <f>'S. PROY. SOCIAL '!G6</f>
        <v>2</v>
      </c>
      <c r="H72" s="210" t="str">
        <f>'S. PROY. SOCIAL '!H6</f>
        <v>PARTICIPACION ASAMBLEA VISIBLE ( 3 VECES AL AÑO QUE SE HACE LA ASAMBLEA VISIBLE)</v>
      </c>
      <c r="I72" s="5">
        <f>Asignación!K67</f>
        <v>2000000</v>
      </c>
      <c r="J72" s="5">
        <f>'S. PROY. SOCIAL '!J6</f>
        <v>0</v>
      </c>
      <c r="K72" s="5">
        <f t="shared" si="25"/>
        <v>2000000</v>
      </c>
      <c r="L72" s="262">
        <f>'S. PROY. SOCIAL '!L6</f>
        <v>0</v>
      </c>
      <c r="M72" s="271">
        <f>'S. PROY. SOCIAL '!M6</f>
        <v>0</v>
      </c>
      <c r="N72" s="262">
        <f>'S. PROY. SOCIAL '!N6</f>
        <v>0</v>
      </c>
      <c r="O72" s="271">
        <f>'S. PROY. SOCIAL '!O6</f>
        <v>0</v>
      </c>
      <c r="P72" s="262">
        <f>'S. PROY. SOCIAL '!P6</f>
        <v>0</v>
      </c>
      <c r="Q72" s="271">
        <f>'S. PROY. SOCIAL '!Q6</f>
        <v>0</v>
      </c>
      <c r="R72" s="262">
        <f>'S. PROY. SOCIAL '!R6</f>
        <v>0</v>
      </c>
      <c r="S72" s="267">
        <f t="shared" si="26"/>
        <v>0</v>
      </c>
      <c r="T72" s="267">
        <f t="shared" si="27"/>
        <v>0</v>
      </c>
      <c r="U72" s="267">
        <f t="shared" si="14"/>
        <v>0</v>
      </c>
      <c r="V72" s="268" t="str">
        <f>'S. INVESTIGACIÓN'!V7</f>
        <v>Se apoyó a 18 docentes para la formación de alto nivel (Maestrias, doctorados, posdoctorados):
1 - ELIAS FRANCISCO AMORTEGUI CEDEÑO - Doctorado en Didáctica Especificas en la Universidad de Valencia – España, ORDEN ADMINISTRATIVA 003.
2 - ZULLY CUELLAR LOPEZ - Doctorado en en educación en la Universidad Autónoma de Madrid – España, ORDEN ADMINISTRATIVA 004
3 - FREDY ALBERTO MIER LOGATO - Doctorado en Lingüística en la Universidad de Antioquia, ORDEN ADMINISTRATIVA 005
4 - LADYS JIMENEZ TORRES - Doctorado en Literatura en la Universidad de Antioquia, ORDEN ADMINISTRATIVA 006
5 - FERNANDO GALINDO PERDOMO - Doctorado en Actividad Física y Deporte en la Universidad de Valencia, ORDEN ADMINISTRATIVA 011
6 - LISSETH SUGEY ROJAS BARRETO - Doctorado en Educación con la Universidad Autónoma de Madrid, ORDEN ADMINISTRATIVA 012
7 - CRISTIAN ARNOLDO RAMIREZ CASTRILLON - Doctorado en Estudios Territoriales en la Universidad de Caldas, ORDEN ADMINISTRATIVA 010
8 - CLAUDIA ANDREA RAMIREZ PERDOMO - Doctorado en Enfermeria en la Universidad de Antioquia, ORDEN ADMINISTRATIVA 008
9 - MAURICIO PENAGOS - Doctorado en Educación en Matemáticas en la Universidad Antonio Nariño, ORDEN ADMINISTRATIVA 009
10 - JENNY LISSETH AVENDAÑO LOPEZ - Doctorado en Ciencias Sociales Niñez y Juventud en la Universidad de Manizales en la alianza CINDE, ORDEN ADMINISTRATIVA 014
11 - LUIS ALFREDO MUÑOZ VELASCO - Doctorado en Desarrollo Sostenible en la Universidad de Manizales, ORDEN ADMINISTRATIVA 018
12 - JOSE JARDANI GIRALDO URIBE - Doctorado en Desarrollo Sostenible en la Universidad de Manizales, ORDEN ADMINISTRATIVA 019
13 - NERCY GUTIERREZ CARDOSO - Doctorado en Ciencia de la Educación, ORDEN ADMINISTRATIVA 020
14 - FRANCISCO JOSE MUÑOZ ORDOÑEZ - Doctorado en Agroindustria y Desarrollo Agrícola Sostenible, ORDEN ADMINISTRATIVA 022
15 - MIRYAM CRISTINA FERNANDEZ CEDIEL - Doctorado en Psicología en VRIJE UNIVERSITEIT BRUSSEL, AVANCE 011
16 - GERMAN DARIO HEMBUZ - Doctorado en Ciencias Sociales Niñez y Juventud que curso en la Universidad de Manizales con el Convenio CINDE, ORDEN ADMINISTRATIVA 023
17 - JOSE LEONARDO RUIZ MENDEZ - Doctorado en Educación y Cultura Ambiental en la Universidad Surcolombiana, ORDEN ADMINISTRATIVA 024
18 - RUBEN DARÍO VALBUENA - Doctorado en Agroindustria y Desarrollo Agricola Sostenible en la Universidad Surcolombiana, ORDEN ADMINISTRATIVA 026</v>
      </c>
      <c r="W72" s="5">
        <f>'S. PROY. SOCIAL '!W6</f>
        <v>6000000</v>
      </c>
      <c r="X72" s="5">
        <f>'S. PROY. SOCIAL '!X6</f>
        <v>700000</v>
      </c>
      <c r="Y72" s="5">
        <f>'S. PROY. SOCIAL '!Y6</f>
        <v>5300000</v>
      </c>
      <c r="Z72" s="5">
        <f>'S. PROY. SOCIAL '!Z6</f>
        <v>1</v>
      </c>
      <c r="AA72" s="311">
        <f>'S. PROY. SOCIAL '!AA6</f>
        <v>0.5</v>
      </c>
      <c r="AB72" s="5">
        <f>'S. PROY. SOCIAL '!AB6</f>
        <v>0</v>
      </c>
      <c r="AC72" s="311">
        <f>'S. PROY. SOCIAL '!AC6</f>
        <v>0</v>
      </c>
      <c r="AD72" s="5">
        <f>'S. PROY. SOCIAL '!AD6</f>
        <v>0</v>
      </c>
      <c r="AE72" s="311">
        <f>'S. PROY. SOCIAL '!AE6</f>
        <v>0</v>
      </c>
      <c r="AF72" s="5">
        <f>'S. PROY. SOCIAL '!AF6</f>
        <v>1</v>
      </c>
      <c r="AG72" s="249">
        <f t="shared" si="28"/>
        <v>0.11666666666666667</v>
      </c>
      <c r="AH72" s="249">
        <f t="shared" si="29"/>
        <v>0.5</v>
      </c>
      <c r="AI72" s="249">
        <f t="shared" si="6"/>
        <v>0.30833333333333335</v>
      </c>
      <c r="AJ72" s="268" t="str">
        <f>'S. PROY. SOCIAL '!AJ6</f>
        <v>Apoyo econòmico para inscripciòn en la conferencia Ascolfa 2017,</v>
      </c>
      <c r="AK72" s="5">
        <f>'S. PROY. SOCIAL '!AK6</f>
        <v>6000000</v>
      </c>
      <c r="AL72" s="5">
        <f>'S. PROY. SOCIAL '!AL6</f>
        <v>700000</v>
      </c>
      <c r="AM72" s="5">
        <f>'S. PROY. SOCIAL '!AM6</f>
        <v>5300000</v>
      </c>
      <c r="AN72" s="5">
        <f>'S. PROY. SOCIAL '!AN6</f>
        <v>0</v>
      </c>
      <c r="AO72" s="311">
        <f>'S. PROY. SOCIAL '!AO6</f>
        <v>0</v>
      </c>
      <c r="AP72" s="5">
        <f>'S. PROY. SOCIAL '!AP6</f>
        <v>0</v>
      </c>
      <c r="AQ72" s="311">
        <f>'S. PROY. SOCIAL '!AQ6</f>
        <v>0</v>
      </c>
      <c r="AR72" s="5">
        <f>'S. PROY. SOCIAL '!AR6</f>
        <v>0</v>
      </c>
      <c r="AS72" s="311">
        <f>'S. PROY. SOCIAL '!AS6</f>
        <v>0</v>
      </c>
      <c r="AT72" s="5">
        <f>'S. PROY. SOCIAL '!AT6</f>
        <v>0</v>
      </c>
      <c r="AU72" s="363">
        <f t="shared" si="30"/>
        <v>0.11666666666666667</v>
      </c>
      <c r="AV72" s="363">
        <f t="shared" si="31"/>
        <v>0</v>
      </c>
      <c r="AW72" s="363">
        <f t="shared" si="16"/>
        <v>5.8333333333333334E-2</v>
      </c>
      <c r="AX72" s="354" t="str">
        <f>'S. PROY. SOCIAL '!AX6</f>
        <v>Actividades pertinentes a esta acción quedan pendientes para realizarse en el 4to trimestre</v>
      </c>
    </row>
    <row r="73" spans="1:50" ht="57" customHeight="1" x14ac:dyDescent="0.25">
      <c r="A73" s="620"/>
      <c r="B73" s="35" t="s">
        <v>219</v>
      </c>
      <c r="C73" s="26" t="str">
        <f>Asignación!A68</f>
        <v>SP-PY2.1</v>
      </c>
      <c r="D73" s="258" t="str">
        <f>Asignación!B68</f>
        <v>Apoyo y gestión en acciones, proyectos y eventos para regionalización.</v>
      </c>
      <c r="E73" s="26">
        <f>Asignación!C68</f>
        <v>520</v>
      </c>
      <c r="F73" s="248" t="s">
        <v>222</v>
      </c>
      <c r="G73" s="331">
        <f>'S. PROY. SOCIAL '!G7</f>
        <v>1</v>
      </c>
      <c r="H73" s="210" t="str">
        <f>'S. PROY. SOCIAL '!H7</f>
        <v xml:space="preserve">Consolidación Comité Regionalización (Construcción de la Política Regionalización)
</v>
      </c>
      <c r="I73" s="5">
        <f>Asignación!K68</f>
        <v>34826876</v>
      </c>
      <c r="J73" s="5">
        <f>'S. PROY. SOCIAL '!J7</f>
        <v>22563666</v>
      </c>
      <c r="K73" s="5">
        <f t="shared" si="25"/>
        <v>12263210</v>
      </c>
      <c r="L73" s="262">
        <f>'S. PROY. SOCIAL '!L7</f>
        <v>0</v>
      </c>
      <c r="M73" s="271">
        <f>'S. PROY. SOCIAL '!M7</f>
        <v>0</v>
      </c>
      <c r="N73" s="262">
        <f>'S. PROY. SOCIAL '!N7</f>
        <v>0</v>
      </c>
      <c r="O73" s="271">
        <f>'S. PROY. SOCIAL '!O7</f>
        <v>0</v>
      </c>
      <c r="P73" s="262">
        <f>'S. PROY. SOCIAL '!P7</f>
        <v>0</v>
      </c>
      <c r="Q73" s="271">
        <f>'S. PROY. SOCIAL '!Q7</f>
        <v>0</v>
      </c>
      <c r="R73" s="262">
        <f>'S. PROY. SOCIAL '!R7</f>
        <v>0</v>
      </c>
      <c r="S73" s="267">
        <f t="shared" si="26"/>
        <v>0.64788084926135781</v>
      </c>
      <c r="T73" s="267">
        <f t="shared" si="27"/>
        <v>0</v>
      </c>
      <c r="U73" s="267">
        <f t="shared" si="14"/>
        <v>0.3239404246306789</v>
      </c>
      <c r="V73" s="268" t="str">
        <f>'S. INVESTIGACIÓN'!V8</f>
        <v>NO SE HA EJECUTADO EN ESTE TRIMESTRE</v>
      </c>
      <c r="W73" s="5">
        <f>'S. PROY. SOCIAL '!W7</f>
        <v>70000000</v>
      </c>
      <c r="X73" s="5">
        <f>'S. PROY. SOCIAL '!X7</f>
        <v>30768091</v>
      </c>
      <c r="Y73" s="5">
        <f>'S. PROY. SOCIAL '!Y7</f>
        <v>39231909</v>
      </c>
      <c r="Z73" s="5">
        <f>'S. PROY. SOCIAL '!Z7</f>
        <v>0</v>
      </c>
      <c r="AA73" s="311">
        <f>'S. PROY. SOCIAL '!AA7</f>
        <v>0</v>
      </c>
      <c r="AB73" s="5">
        <f>'S. PROY. SOCIAL '!AB7</f>
        <v>0</v>
      </c>
      <c r="AC73" s="311">
        <f>'S. PROY. SOCIAL '!AC7</f>
        <v>0</v>
      </c>
      <c r="AD73" s="5">
        <f>'S. PROY. SOCIAL '!AD7</f>
        <v>0.5</v>
      </c>
      <c r="AE73" s="311">
        <f>'S. PROY. SOCIAL '!AE7</f>
        <v>0.5</v>
      </c>
      <c r="AF73" s="5">
        <f>'S. PROY. SOCIAL '!AF7</f>
        <v>0.5</v>
      </c>
      <c r="AG73" s="249">
        <f t="shared" si="28"/>
        <v>0.43954415714285716</v>
      </c>
      <c r="AH73" s="249">
        <f t="shared" si="29"/>
        <v>0.5</v>
      </c>
      <c r="AI73" s="249">
        <f t="shared" si="6"/>
        <v>0.46977207857142855</v>
      </c>
      <c r="AJ73" s="268" t="str">
        <f>'S. PROY. SOCIAL '!AJ7</f>
        <v>Se encuentra en un 50% el avance de la construcción la política de regionalización</v>
      </c>
      <c r="AK73" s="5">
        <f>'S. PROY. SOCIAL '!AK7</f>
        <v>70000000</v>
      </c>
      <c r="AL73" s="5">
        <f>'S. PROY. SOCIAL '!AL7</f>
        <v>46954858</v>
      </c>
      <c r="AM73" s="5">
        <f>'S. PROY. SOCIAL '!AM7</f>
        <v>23045142</v>
      </c>
      <c r="AN73" s="5">
        <f>'S. PROY. SOCIAL '!AN7</f>
        <v>0.08</v>
      </c>
      <c r="AO73" s="311">
        <f>'S. PROY. SOCIAL '!AO7</f>
        <v>0.08</v>
      </c>
      <c r="AP73" s="5">
        <f>'S. PROY. SOCIAL '!AP7</f>
        <v>0.08</v>
      </c>
      <c r="AQ73" s="311">
        <f>'S. PROY. SOCIAL '!AQ7</f>
        <v>0.08</v>
      </c>
      <c r="AR73" s="5">
        <f>'S. PROY. SOCIAL '!AR7</f>
        <v>0.09</v>
      </c>
      <c r="AS73" s="311">
        <f>'S. PROY. SOCIAL '!AS7</f>
        <v>0.09</v>
      </c>
      <c r="AT73" s="5">
        <f>'S. PROY. SOCIAL '!AT7</f>
        <v>0.25</v>
      </c>
      <c r="AU73" s="363">
        <f t="shared" si="30"/>
        <v>0.6707836857142857</v>
      </c>
      <c r="AV73" s="363">
        <f t="shared" si="31"/>
        <v>0.25</v>
      </c>
      <c r="AW73" s="363">
        <f t="shared" si="16"/>
        <v>0.46039184285714285</v>
      </c>
      <c r="AX73" s="354" t="str">
        <f>'S. PROY. SOCIAL '!AX7</f>
        <v>Se continúa con el proceso de la construcción de la política pública para lo cual se han desarrollado talleres con el fin de terminar el documento para el 4to trimestre de este año.</v>
      </c>
    </row>
    <row r="74" spans="1:50" ht="45" customHeight="1" x14ac:dyDescent="0.25">
      <c r="A74" s="620"/>
      <c r="B74" s="541" t="s">
        <v>223</v>
      </c>
      <c r="C74" s="26" t="str">
        <f>Asignación!A69</f>
        <v>SP-PY3.1</v>
      </c>
      <c r="D74" s="258" t="str">
        <f>Asignación!B69</f>
        <v>Macroproyectos de Proyección social cofinanciados por la Universidad Surcolombiana.</v>
      </c>
      <c r="E74" s="26">
        <f>Asignación!C69</f>
        <v>520</v>
      </c>
      <c r="F74" s="248" t="s">
        <v>89</v>
      </c>
      <c r="G74" s="331">
        <f>'S. PROY. SOCIAL '!G8</f>
        <v>5</v>
      </c>
      <c r="H74" s="210" t="str">
        <f>'S. PROY. SOCIAL '!H8</f>
        <v>MACROPROYECTOS</v>
      </c>
      <c r="I74" s="5">
        <f>Asignación!K69</f>
        <v>20000000</v>
      </c>
      <c r="J74" s="5">
        <f>'S. PROY. SOCIAL '!J8</f>
        <v>0</v>
      </c>
      <c r="K74" s="5">
        <f t="shared" si="25"/>
        <v>20000000</v>
      </c>
      <c r="L74" s="262">
        <f>'S. PROY. SOCIAL '!L8</f>
        <v>0</v>
      </c>
      <c r="M74" s="271">
        <f>'S. PROY. SOCIAL '!M8</f>
        <v>0</v>
      </c>
      <c r="N74" s="262">
        <f>'S. PROY. SOCIAL '!N8</f>
        <v>0</v>
      </c>
      <c r="O74" s="271">
        <f>'S. PROY. SOCIAL '!O8</f>
        <v>0</v>
      </c>
      <c r="P74" s="262">
        <f>'S. PROY. SOCIAL '!P8</f>
        <v>2</v>
      </c>
      <c r="Q74" s="271">
        <f>'S. PROY. SOCIAL '!Q8</f>
        <v>0.4</v>
      </c>
      <c r="R74" s="262">
        <f>'S. PROY. SOCIAL '!R8</f>
        <v>2</v>
      </c>
      <c r="S74" s="267">
        <f t="shared" si="26"/>
        <v>0</v>
      </c>
      <c r="T74" s="267">
        <f t="shared" si="27"/>
        <v>0.4</v>
      </c>
      <c r="U74" s="267">
        <f t="shared" si="14"/>
        <v>0.2</v>
      </c>
      <c r="V74" s="268" t="str">
        <f>'S. INVESTIGACIÓN'!V9</f>
        <v>Para el primer trimestre se apoyó para le ejecución de 8 proyectos relacionados así (MEDIANTE ACTA No. 2 DE ENERO 26 DE 2017) - SI-PY1.5 Y SI-PY4.1 SON ACCIONES QUE VAN UNIDAS:
1 - CONSTRUCCIÓN DE PRÁCTICAS PEDAGÓGICAS ALTERNATIVAS PARA LA FORMACIÓN DE MAESTROS PARA LA PAZ, LA EQUIDAD Y LA RECONCILIACIÓN: CONTRATO VIPS 052-A2017 
2 - LOS SISTEMAS DINÁMICOS DEL CAMBIO CLIMÁTICO Y LAS AFECTACIONES SOBRE LOS SISTEMAS ECOLÓGICOS LOCALES: CONTRATO VIPS 058-A2017, AVANCE 162
3 - CONOCIMIENTOS Y PRÁCTICAS QUE REALIZAN LOS PACIENTES DIABÉTICOS PARA LA PREVENCIÓN DEL PIE DIABÉTICO EN LA EMPRESA SOCIAL DEL ESTADO (ESE) CARMEN EMILIA OSPINA: CONTRATO VIPS 298-B2017, AVANCE 020, AVANCE 079
4 - ACTITUD, CONOCIMIENTO Y USO DE LAS TECNOLOGÍAS DE LA INFORMACIÓN Y LA COMUNICACIÓN (TIC) PARA LA ENSEÑANZA DE LAS CIENCIAS NATURALES EN LAS INSTITUCIONES EDUCATIVAS PÚBLICAS DEL MUNICIPIO DE NEIVA. UN ESTUDIO DIAGNÓSTICO: CONTRATO VIPS 128-A2017, AVANCE 048, CONTRATO VIPS 171-A2017, AVANCE 118
5 - COMPETENCIAS GERENCIALES DE LOS LÍDERES ORGANIZACIONALES DEL SECTOR PRODUCTIVO DE LAS PASIFLORAS EN EL DEPARTAMENTO DEL HUILA: AVANCE 026, VIPS 293-B2017
6 - LA CONCILIACIÓN PROCESAL OBLIGATORIA COMO MECANISMO DE DESCONGESTIÓN JUDICIAL EN LA JURISDICCIÓN CONTENCIOSA ADMINISTRATIVA DE ANTIOQUIA, BOLÍVAR, CUNDINAMARCA Y VALLE DEL CAUCA: CONTRATO VIPS 069-A2017, CONTRATO VIPS 287-B2017
7 - IDENTIFICACIÓN DE ESPECIES ICTICAS EN EL ÁREA DE INFLUENCIA DE LA HIDROELÉCTRICA DEL QUIMBO: CONTRATO VIPS 083-A2017, AVANCE 083, CONTRATO VIPS 213-A2017, AVANCE 202, CONTRATO VIPS 213-A2017
8 - CARACTERIZACIÓN DE LAS ACCIONES CONSTITUCIONALES DERIVADAS DE LA CONSTRUCCIÓN DE LA HIDROELÉCTRICA “EL QUIMBO”: AVANCE 014, CONTRATO VIPS 082-A2017, AVANCE 029, AVANCE 129</v>
      </c>
      <c r="W74" s="5">
        <f>'S. PROY. SOCIAL '!W8</f>
        <v>20000000</v>
      </c>
      <c r="X74" s="5">
        <f>'S. PROY. SOCIAL '!X8</f>
        <v>10974436</v>
      </c>
      <c r="Y74" s="5">
        <f>'S. PROY. SOCIAL '!Y8</f>
        <v>9025564</v>
      </c>
      <c r="Z74" s="5">
        <f>'S. PROY. SOCIAL '!Z8</f>
        <v>0</v>
      </c>
      <c r="AA74" s="311">
        <f>'S. PROY. SOCIAL '!AA8</f>
        <v>0</v>
      </c>
      <c r="AB74" s="5">
        <f>'S. PROY. SOCIAL '!AB8</f>
        <v>0</v>
      </c>
      <c r="AC74" s="311">
        <f>'S. PROY. SOCIAL '!AC8</f>
        <v>0</v>
      </c>
      <c r="AD74" s="5">
        <f>'S. PROY. SOCIAL '!AD8</f>
        <v>0</v>
      </c>
      <c r="AE74" s="311">
        <f>'S. PROY. SOCIAL '!AE8</f>
        <v>0</v>
      </c>
      <c r="AF74" s="5">
        <f>'S. PROY. SOCIAL '!AF8</f>
        <v>0</v>
      </c>
      <c r="AG74" s="249">
        <f t="shared" si="28"/>
        <v>0.54872180000000004</v>
      </c>
      <c r="AH74" s="249">
        <f t="shared" si="29"/>
        <v>0</v>
      </c>
      <c r="AI74" s="249">
        <f t="shared" ref="AI74:AI140" si="32">(AG74+AH74)/2</f>
        <v>0.27436090000000002</v>
      </c>
      <c r="AJ74" s="268" t="str">
        <f>'S. PROY. SOCIAL '!AJ8</f>
        <v>Se continúa financiando los dos macroproyectos del primer trimestre:
1- Acompañamiento al proceso organizativo de defensa de la cuenca del rio Magdalena para la garantía y restablecimiento de los derechos humanos y los Desca de los afectados por la política minero energética en el departamento del Huila fase III.
2-  Programa de Proyección Social del Museo Geológico y del Petróleo de la Facultad de Ingeniería</v>
      </c>
      <c r="AK74" s="5">
        <f>'S. PROY. SOCIAL '!AK8</f>
        <v>20000000</v>
      </c>
      <c r="AL74" s="5">
        <f>'S. PROY. SOCIAL '!AL8</f>
        <v>14152872</v>
      </c>
      <c r="AM74" s="5">
        <f>'S. PROY. SOCIAL '!AM8</f>
        <v>5847128</v>
      </c>
      <c r="AN74" s="5">
        <f>'S. PROY. SOCIAL '!AN8</f>
        <v>0</v>
      </c>
      <c r="AO74" s="311">
        <f>'S. PROY. SOCIAL '!AO8</f>
        <v>0</v>
      </c>
      <c r="AP74" s="5">
        <f>'S. PROY. SOCIAL '!AP8</f>
        <v>0</v>
      </c>
      <c r="AQ74" s="311">
        <f>'S. PROY. SOCIAL '!AQ8</f>
        <v>0</v>
      </c>
      <c r="AR74" s="5">
        <f>'S. PROY. SOCIAL '!AR8</f>
        <v>1</v>
      </c>
      <c r="AS74" s="311">
        <f>'S. PROY. SOCIAL '!AS8</f>
        <v>0.2</v>
      </c>
      <c r="AT74" s="5">
        <f>'S. PROY. SOCIAL '!AT8</f>
        <v>1</v>
      </c>
      <c r="AU74" s="363">
        <f t="shared" si="30"/>
        <v>0.70764360000000004</v>
      </c>
      <c r="AV74" s="363">
        <f t="shared" si="31"/>
        <v>0.2</v>
      </c>
      <c r="AW74" s="363">
        <f t="shared" si="16"/>
        <v>0.45382180000000005</v>
      </c>
      <c r="AX74" s="354" t="str">
        <f>'S. PROY. SOCIAL '!AX8</f>
        <v>MACROPROYECTOS PARA LA VIGENCIA 2017 FUERON APROBADOS 3  Y A LA FECHA SE ENCUENTRAN EN DESARROLLO:
Se continúa financiando los dos macroproyectos del primer trimestre:
1- Acompañamiento al proceso organizativo de defensa de la cuenca del rio Magdalena para la garantía y restablecimiento de los derechos humanos y los Desca de los afectados por la política minero energética en el departamento del Huila fase III.
2-  Programa de Proyección Social del Museo Geológico y del Petróleo de la Facultad de Ingeniería
3 - Delegación del profesor Roberto Vargas por parte de la universidad ante el centro de desarrollo minero energético - CDT MINERO ENERGÉTICO</v>
      </c>
    </row>
    <row r="75" spans="1:50" ht="32.25" customHeight="1" x14ac:dyDescent="0.25">
      <c r="A75" s="620"/>
      <c r="B75" s="542"/>
      <c r="C75" s="26" t="str">
        <f>Asignación!A70</f>
        <v>SP-PY3.2</v>
      </c>
      <c r="D75" s="258" t="str">
        <f>Asignación!B70</f>
        <v>Proyectos solidarios de menor cuantía cofinanciados  por la Universidad Surcolombiana.</v>
      </c>
      <c r="E75" s="26">
        <f>Asignación!C70</f>
        <v>520</v>
      </c>
      <c r="F75" s="248" t="s">
        <v>89</v>
      </c>
      <c r="G75" s="331">
        <f>'S. PROY. SOCIAL '!G9</f>
        <v>20</v>
      </c>
      <c r="H75" s="210" t="str">
        <f>'S. PROY. SOCIAL '!H9</f>
        <v>PROYECTOS MENOR CUANTÍA</v>
      </c>
      <c r="I75" s="5">
        <f>Asignación!K70</f>
        <v>1018432040</v>
      </c>
      <c r="J75" s="5">
        <f>'S. PROY. SOCIAL '!J9</f>
        <v>0</v>
      </c>
      <c r="K75" s="5">
        <f t="shared" si="25"/>
        <v>1018432040</v>
      </c>
      <c r="L75" s="262">
        <f>'S. PROY. SOCIAL '!L9</f>
        <v>0</v>
      </c>
      <c r="M75" s="271">
        <f>'S. PROY. SOCIAL '!M9</f>
        <v>0</v>
      </c>
      <c r="N75" s="262">
        <f>'S. PROY. SOCIAL '!N9</f>
        <v>0</v>
      </c>
      <c r="O75" s="271">
        <f>'S. PROY. SOCIAL '!O9</f>
        <v>0</v>
      </c>
      <c r="P75" s="262">
        <f>'S. PROY. SOCIAL '!P9</f>
        <v>0</v>
      </c>
      <c r="Q75" s="271">
        <f>'S. PROY. SOCIAL '!Q9</f>
        <v>0</v>
      </c>
      <c r="R75" s="262">
        <f>'S. PROY. SOCIAL '!R9</f>
        <v>0</v>
      </c>
      <c r="S75" s="267">
        <f t="shared" si="26"/>
        <v>0</v>
      </c>
      <c r="T75" s="267">
        <f t="shared" si="27"/>
        <v>0</v>
      </c>
      <c r="U75" s="267">
        <f t="shared" si="14"/>
        <v>0</v>
      </c>
      <c r="V75" s="268" t="str">
        <f>'S. INVESTIGACIÓN'!V10</f>
        <v>NO SE HA EJECUTADO EN ESTE TRIMESTRE, PENDIENTES POR DESARROLLAR</v>
      </c>
      <c r="W75" s="5">
        <f>'S. PROY. SOCIAL '!W9</f>
        <v>1030432040</v>
      </c>
      <c r="X75" s="5">
        <f>'S. PROY. SOCIAL '!X9</f>
        <v>778849252</v>
      </c>
      <c r="Y75" s="5">
        <f>'S. PROY. SOCIAL '!Y9</f>
        <v>251582788</v>
      </c>
      <c r="Z75" s="5">
        <f>'S. PROY. SOCIAL '!Z9</f>
        <v>0</v>
      </c>
      <c r="AA75" s="311">
        <f>'S. PROY. SOCIAL '!AA9</f>
        <v>0</v>
      </c>
      <c r="AB75" s="5">
        <f>'S. PROY. SOCIAL '!AB9</f>
        <v>1</v>
      </c>
      <c r="AC75" s="311">
        <f>'S. PROY. SOCIAL '!AC9</f>
        <v>0.05</v>
      </c>
      <c r="AD75" s="5">
        <f>'S. PROY. SOCIAL '!AD9</f>
        <v>0</v>
      </c>
      <c r="AE75" s="311">
        <f>'S. PROY. SOCIAL '!AE9</f>
        <v>0</v>
      </c>
      <c r="AF75" s="5">
        <f>'S. PROY. SOCIAL '!AF9</f>
        <v>1</v>
      </c>
      <c r="AG75" s="249">
        <f t="shared" si="28"/>
        <v>0.75584727741967339</v>
      </c>
      <c r="AH75" s="249">
        <f t="shared" si="29"/>
        <v>0.05</v>
      </c>
      <c r="AI75" s="249">
        <f t="shared" si="32"/>
        <v>0.40292363870983672</v>
      </c>
      <c r="AJ75" s="268" t="str">
        <f>'S. PROY. SOCIAL '!AJ9</f>
        <v>Se firmó el contrato interadministrativo 771/2017 con el municipio de Neiva, vinculando 62 contratistas.</v>
      </c>
      <c r="AK75" s="5">
        <f>'S. PROY. SOCIAL '!AK9</f>
        <v>1030432040</v>
      </c>
      <c r="AL75" s="5">
        <f>'S. PROY. SOCIAL '!AL9</f>
        <v>778137681</v>
      </c>
      <c r="AM75" s="5">
        <f>'S. PROY. SOCIAL '!AM9</f>
        <v>252294359</v>
      </c>
      <c r="AN75" s="5">
        <f>'S. PROY. SOCIAL '!AN9</f>
        <v>0</v>
      </c>
      <c r="AO75" s="311">
        <f>'S. PROY. SOCIAL '!AO9</f>
        <v>0</v>
      </c>
      <c r="AP75" s="5">
        <f>'S. PROY. SOCIAL '!AP9</f>
        <v>0</v>
      </c>
      <c r="AQ75" s="311">
        <f>'S. PROY. SOCIAL '!AQ9</f>
        <v>0</v>
      </c>
      <c r="AR75" s="5">
        <f>'S. PROY. SOCIAL '!AR9</f>
        <v>1</v>
      </c>
      <c r="AS75" s="311">
        <f>'S. PROY. SOCIAL '!AS9</f>
        <v>0.05</v>
      </c>
      <c r="AT75" s="5">
        <f>'S. PROY. SOCIAL '!AT9</f>
        <v>1</v>
      </c>
      <c r="AU75" s="363">
        <f t="shared" si="30"/>
        <v>0.75515672144666623</v>
      </c>
      <c r="AV75" s="363">
        <f t="shared" si="31"/>
        <v>0.05</v>
      </c>
      <c r="AW75" s="363">
        <f t="shared" si="16"/>
        <v>0.40257836072333314</v>
      </c>
      <c r="AX75" s="354" t="str">
        <f>'S. PROY. SOCIAL '!AX9</f>
        <v>SE SUSCRIBE E INICIA LA EJECUCIÓN DEL CONVENIO INTERADMINISTRATIVO No. 1030 DE 2017 ENTRE EL MUNICIPIO DE NEIVA Y USCO</v>
      </c>
    </row>
    <row r="76" spans="1:50" ht="39.75" customHeight="1" x14ac:dyDescent="0.25">
      <c r="A76" s="620"/>
      <c r="B76" s="542"/>
      <c r="C76" s="26" t="str">
        <f>Asignación!A71</f>
        <v>SP-PY3.3</v>
      </c>
      <c r="D76" s="258" t="str">
        <f>Asignación!B71</f>
        <v>Apoyo logístico a proyectos  de Responsabilidad Social Universitaria.</v>
      </c>
      <c r="E76" s="26">
        <f>Asignación!C71</f>
        <v>520</v>
      </c>
      <c r="F76" s="248" t="s">
        <v>231</v>
      </c>
      <c r="G76" s="331">
        <f>'S. PROY. SOCIAL '!G10</f>
        <v>43</v>
      </c>
      <c r="H76" s="210" t="str">
        <f>'S. PROY. SOCIAL '!H10</f>
        <v>PROYECTOS RSU (ACTIVIDADES )</v>
      </c>
      <c r="I76" s="5">
        <f>Asignación!K71</f>
        <v>204000000</v>
      </c>
      <c r="J76" s="5">
        <f>'S. PROY. SOCIAL '!J10</f>
        <v>12071384</v>
      </c>
      <c r="K76" s="5">
        <f t="shared" si="25"/>
        <v>191928616</v>
      </c>
      <c r="L76" s="262">
        <f>'S. PROY. SOCIAL '!L10</f>
        <v>7</v>
      </c>
      <c r="M76" s="271">
        <f>'S. PROY. SOCIAL '!M10</f>
        <v>0.16279069767441862</v>
      </c>
      <c r="N76" s="262">
        <f>'S. PROY. SOCIAL '!N10</f>
        <v>0</v>
      </c>
      <c r="O76" s="271">
        <f>'S. PROY. SOCIAL '!O10</f>
        <v>0</v>
      </c>
      <c r="P76" s="262">
        <f>'S. PROY. SOCIAL '!P10</f>
        <v>0</v>
      </c>
      <c r="Q76" s="271">
        <f>'S. PROY. SOCIAL '!Q10</f>
        <v>0</v>
      </c>
      <c r="R76" s="262">
        <f>'S. PROY. SOCIAL '!R10</f>
        <v>7</v>
      </c>
      <c r="S76" s="267">
        <f t="shared" si="26"/>
        <v>5.9173450980392159E-2</v>
      </c>
      <c r="T76" s="267">
        <f t="shared" si="27"/>
        <v>0.16279069767441862</v>
      </c>
      <c r="U76" s="267">
        <f t="shared" si="14"/>
        <v>0.11098207432740539</v>
      </c>
      <c r="V76" s="268" t="str">
        <f>'S. INVESTIGACIÓN'!V11</f>
        <v>NO SE HA EJECUTADO EN ESTE TRIMESTRE, NO SE HA REALIZADO NINGUN TALLER AÚN, PENDITE</v>
      </c>
      <c r="W76" s="5">
        <f>'S. PROY. SOCIAL '!W10</f>
        <v>205000000</v>
      </c>
      <c r="X76" s="5">
        <f>'S. PROY. SOCIAL '!X10</f>
        <v>61245934</v>
      </c>
      <c r="Y76" s="5">
        <f>'S. PROY. SOCIAL '!Y10</f>
        <v>143754066</v>
      </c>
      <c r="Z76" s="5">
        <f>'S. PROY. SOCIAL '!Z10</f>
        <v>27</v>
      </c>
      <c r="AA76" s="311">
        <f>'S. PROY. SOCIAL '!AA10</f>
        <v>0.62790697674418605</v>
      </c>
      <c r="AB76" s="5">
        <f>'S. PROY. SOCIAL '!AB10</f>
        <v>8</v>
      </c>
      <c r="AC76" s="311">
        <f>'S. PROY. SOCIAL '!AC10</f>
        <v>0.18604651162790697</v>
      </c>
      <c r="AD76" s="5">
        <f>'S. PROY. SOCIAL '!AD10</f>
        <v>3</v>
      </c>
      <c r="AE76" s="311">
        <f>'S. PROY. SOCIAL '!AE10</f>
        <v>6.9767441860465115E-2</v>
      </c>
      <c r="AF76" s="5">
        <f>'S. PROY. SOCIAL '!AF10</f>
        <v>38</v>
      </c>
      <c r="AG76" s="249">
        <f t="shared" si="28"/>
        <v>0.2987606536585366</v>
      </c>
      <c r="AH76" s="249">
        <f t="shared" si="29"/>
        <v>0.88372093023255816</v>
      </c>
      <c r="AI76" s="249">
        <f t="shared" si="32"/>
        <v>0.59124079194554735</v>
      </c>
      <c r="AJ76" s="268" t="str">
        <f>'S. PROY. SOCIAL '!AJ10</f>
        <v xml:space="preserve">Mediante Acta No. 05 de fecha 21 de Marzo de 2017  el Comité de Proyección Social  aprueba financiar  cada una de  las 7 facultades con la suma de $11.428.000 para proyectos del Plan de Acción, aprobados por el Consejo de Facultad, así:
Facultad de Economía y Administración:
- Escuela de Liderazgo para el posconflicto-emprendimiento.
-Formación de auditores estudiantiles en instituciones públicas de educación media en el municipio de Pitalito.
- Promoción de la cultura del control público desde las aulas escolares de educación media o tecnica en la institución educativa del municipio de Algeciras - Huila.
- Alfabetización financiera para ni;os implementado en instituciones educativas.
- Asesoramiento y acompañamiento a Mipymes sector comercio, industria y organizaciones sociales.
Facultad de Ciencias Exactas y Naturales
- Decimo seminario internacional de matemáticas aplicadas
- II Seminario internacional la física y sus aplicaciones
- III Encuentro de egresados de la FACIEN.
- XIII Olimpiadas de física.
Facultad de Ciencias Jurídicas y Políticas.
- Proyecto Ama-Gi
Facultad de Salud
- Autocuidado de la persona mayor
- Cuidado Domiciliario
- Acompañamiento y tutoría a la población desplazada y vulnerable receptora de Neiva
- Formación e intervención "Clínica del buen trato" centro amigable para el desarrollo integral de jòvenes surcolombianos.
- Encuentros academicos de enfermería.
- Promoviendo salud para vivir.
- Hábitos saludables
- Diseño y validación psicometrica de una prueba vocacional para ser aplicada como criterio de ingreso al programa de enfermería de la Universidad Surcolombiana.
- Promoción de la donación voluntaria y habitual de sangre en la comunidad huilense para generar la cultura de la donación y responder a las necesidades de demanda de sangre del banco de sangre de la ESE Hospital Universitario Hernando Moncaleano Perdomo-Usco, Neiva-2017.
Facultad de Ciencias Sociales y Humanas
- Promoción de los derechos sexuales y reproductivos en familias usuarias y madres comunitarias del programa Fami de la ciudad de Neiva en situación vulnerable.
- Cultura audiovisual universitaria
- Fortalecimiento de la Biblioteca Popular Francisco Pacho Vacca.
- VIII Encuentro Surcolombiano de Psicologìa.
- IX Encuentro Surcolombiano de Psicologìa.
- Semana de la comunicaciòn 1.
- Semana de la comunicaciòn 2.
Facultad de Educaciòn
- Caminemos por la vida
- Los agentes educativos de la primera infancia en el oriente de acciones.
- Lectando
- Club de matemàticas
- Enfoque "Formaciòn audiovisual para el resguardo indìgena POTRERITO del municipio de La Plata.
- Pràcticas de acompañamiento dirigida a docentes y estudiantes.
- Desarrollo de pensamiento creativo
- La lectura y escritura como refugio.
- Programa radial en francès
Facultad de Ingeniería
- Formación en manejo ambiental del cultivo del cacao para el municipio de Palermo Huila.
- Responsabilidad social con la industria petrolera y minera.
- Promoción del consumo de moringa como complemento nutricional en población vulnerable, atendiendo las propiedades antimicrobianas.
</v>
      </c>
      <c r="AK76" s="5">
        <f>'S. PROY. SOCIAL '!AK10</f>
        <v>205000000</v>
      </c>
      <c r="AL76" s="5">
        <f>'S. PROY. SOCIAL '!AL10</f>
        <v>144285499</v>
      </c>
      <c r="AM76" s="5">
        <f>'S. PROY. SOCIAL '!AM10</f>
        <v>60714501</v>
      </c>
      <c r="AN76" s="5">
        <f>'S. PROY. SOCIAL '!AN10</f>
        <v>3</v>
      </c>
      <c r="AO76" s="311">
        <f>'S. PROY. SOCIAL '!AO10</f>
        <v>6.9767441860465115E-2</v>
      </c>
      <c r="AP76" s="5">
        <f>'S. PROY. SOCIAL '!AP10</f>
        <v>3</v>
      </c>
      <c r="AQ76" s="311">
        <f>'S. PROY. SOCIAL '!AQ10</f>
        <v>6.9767441860465115E-2</v>
      </c>
      <c r="AR76" s="5">
        <f>'S. PROY. SOCIAL '!AR10</f>
        <v>3</v>
      </c>
      <c r="AS76" s="311">
        <f>'S. PROY. SOCIAL '!AS10</f>
        <v>6.9767441860465115E-2</v>
      </c>
      <c r="AT76" s="5">
        <f>'S. PROY. SOCIAL '!AT10</f>
        <v>9</v>
      </c>
      <c r="AU76" s="363">
        <f t="shared" si="30"/>
        <v>0.70383170243902438</v>
      </c>
      <c r="AV76" s="363">
        <f t="shared" si="31"/>
        <v>0.20930232558139533</v>
      </c>
      <c r="AW76" s="363">
        <f t="shared" si="16"/>
        <v>0.45656701401020983</v>
      </c>
      <c r="AX76" s="354" t="str">
        <f>'S. PROY. SOCIAL '!AX10</f>
        <v>Se estan apoyando los siguientes 2 proyectos pertenecientes a la convocatoria 2017:
- Fac. Ciencias sociales y humanas - Agenda joven con identidad política y comunicaciones
- Fac. Ciencias sociales y humanas - Derechos sexuales y reproductivos en familias en situacion de desplazamiento en la ciudad de Neiva
Adicionalmente se estan ejecutando 7 proyectos que estaban en bancos correspondientes a la convocatoria 2016</v>
      </c>
    </row>
    <row r="77" spans="1:50" ht="42.75" customHeight="1" x14ac:dyDescent="0.25">
      <c r="A77" s="620"/>
      <c r="B77" s="542"/>
      <c r="C77" s="26" t="str">
        <f>Asignación!A72</f>
        <v>SP-PY3.4</v>
      </c>
      <c r="D77" s="258" t="str">
        <f>Asignación!B72</f>
        <v>Apoyos a la realización y participación en  eventos de proyección social.</v>
      </c>
      <c r="E77" s="26">
        <f>Asignación!C72</f>
        <v>520</v>
      </c>
      <c r="F77" s="248" t="s">
        <v>89</v>
      </c>
      <c r="G77" s="331">
        <f>'S. PROY. SOCIAL '!G11</f>
        <v>19</v>
      </c>
      <c r="H77" s="210" t="str">
        <f>'S. PROY. SOCIAL '!H11</f>
        <v>EVENTOS ACADÉMICOS (SIMPOSIO, SEMINARIO, DIMPLOMADO, TALLERES, CONGRESOS, ETC)</v>
      </c>
      <c r="I77" s="5">
        <f>Asignación!K72</f>
        <v>10000000</v>
      </c>
      <c r="J77" s="5">
        <f>'S. PROY. SOCIAL '!J11</f>
        <v>5000000</v>
      </c>
      <c r="K77" s="5">
        <f t="shared" si="25"/>
        <v>5000000</v>
      </c>
      <c r="L77" s="262">
        <f>'S. PROY. SOCIAL '!L11</f>
        <v>0</v>
      </c>
      <c r="M77" s="271">
        <f>'S. PROY. SOCIAL '!M11</f>
        <v>0</v>
      </c>
      <c r="N77" s="262">
        <f>'S. PROY. SOCIAL '!N11</f>
        <v>0</v>
      </c>
      <c r="O77" s="271">
        <f>'S. PROY. SOCIAL '!O11</f>
        <v>0</v>
      </c>
      <c r="P77" s="262">
        <f>'S. PROY. SOCIAL '!P11</f>
        <v>0</v>
      </c>
      <c r="Q77" s="271">
        <f>'S. PROY. SOCIAL '!Q11</f>
        <v>0</v>
      </c>
      <c r="R77" s="262">
        <f>'S. PROY. SOCIAL '!R11</f>
        <v>0</v>
      </c>
      <c r="S77" s="267">
        <f t="shared" si="26"/>
        <v>0.5</v>
      </c>
      <c r="T77" s="267">
        <f t="shared" si="27"/>
        <v>0</v>
      </c>
      <c r="U77" s="267">
        <f t="shared" si="14"/>
        <v>0.25</v>
      </c>
      <c r="V77" s="268" t="str">
        <f>'S. INVESTIGACIÓN'!V12</f>
        <v>NO SE HA EJECUTADO EN ESTE TRIMESTRE</v>
      </c>
      <c r="W77" s="5">
        <f>'S. PROY. SOCIAL '!W11</f>
        <v>14500000</v>
      </c>
      <c r="X77" s="5">
        <f>'S. PROY. SOCIAL '!X11</f>
        <v>8000000</v>
      </c>
      <c r="Y77" s="5">
        <f>'S. PROY. SOCIAL '!Y11</f>
        <v>6500000</v>
      </c>
      <c r="Z77" s="5">
        <f>'S. PROY. SOCIAL '!Z11</f>
        <v>0</v>
      </c>
      <c r="AA77" s="311">
        <f>'S. PROY. SOCIAL '!AA11</f>
        <v>0</v>
      </c>
      <c r="AB77" s="5">
        <f>'S. PROY. SOCIAL '!AB11</f>
        <v>0</v>
      </c>
      <c r="AC77" s="311">
        <f>'S. PROY. SOCIAL '!AC11</f>
        <v>0</v>
      </c>
      <c r="AD77" s="5">
        <f>'S. PROY. SOCIAL '!AD11</f>
        <v>12</v>
      </c>
      <c r="AE77" s="311">
        <f>'S. PROY. SOCIAL '!AE11</f>
        <v>0.63157894736842102</v>
      </c>
      <c r="AF77" s="5">
        <f>'S. PROY. SOCIAL '!AF11</f>
        <v>12</v>
      </c>
      <c r="AG77" s="249">
        <f t="shared" si="28"/>
        <v>0.55172413793103448</v>
      </c>
      <c r="AH77" s="249">
        <f t="shared" si="29"/>
        <v>0.63157894736842102</v>
      </c>
      <c r="AI77" s="249">
        <f t="shared" si="32"/>
        <v>0.59165154264972775</v>
      </c>
      <c r="AJ77" s="268" t="str">
        <f>'S. PROY. SOCIAL '!AJ11</f>
        <v>Para el mes de septiembre se tiene proyectado el desarrollo del primer congreso nacional e internacional de la Proyección Social.
Se realizò un contrato con Redes y Suministro de Colombia SAS para el suministro de los refrigerios de las actividades desarrolladas por Proyecciòn Social.</v>
      </c>
      <c r="AK77" s="5">
        <f>'S. PROY. SOCIAL '!AK11</f>
        <v>14500000</v>
      </c>
      <c r="AL77" s="5">
        <f>'S. PROY. SOCIAL '!AL11</f>
        <v>14169782</v>
      </c>
      <c r="AM77" s="5">
        <f>'S. PROY. SOCIAL '!AM11</f>
        <v>330218</v>
      </c>
      <c r="AN77" s="5">
        <f>'S. PROY. SOCIAL '!AN11</f>
        <v>11</v>
      </c>
      <c r="AO77" s="311">
        <f>'S. PROY. SOCIAL '!AO11</f>
        <v>0.57894736842105265</v>
      </c>
      <c r="AP77" s="5">
        <f>'S. PROY. SOCIAL '!AP11</f>
        <v>10</v>
      </c>
      <c r="AQ77" s="311">
        <f>'S. PROY. SOCIAL '!AQ11</f>
        <v>0.52631578947368418</v>
      </c>
      <c r="AR77" s="5">
        <f>'S. PROY. SOCIAL '!AR11</f>
        <v>14</v>
      </c>
      <c r="AS77" s="311">
        <f>'S. PROY. SOCIAL '!AS11</f>
        <v>0.73684210526315785</v>
      </c>
      <c r="AT77" s="5">
        <f>'S. PROY. SOCIAL '!AT11</f>
        <v>35</v>
      </c>
      <c r="AU77" s="363">
        <f t="shared" si="30"/>
        <v>0.97722634482758619</v>
      </c>
      <c r="AV77" s="363">
        <f t="shared" si="31"/>
        <v>1.8421052631578947</v>
      </c>
      <c r="AW77" s="363">
        <f t="shared" si="16"/>
        <v>1.4096658039927403</v>
      </c>
      <c r="AX77" s="354" t="str">
        <f>'S. PROY. SOCIAL '!AX11</f>
        <v xml:space="preserve"> - Se realizó el evento correspondiente a Expohuila 2017
- REALIZACION Y PARTICIPACION EN EVENTOS DE PROYECCION SOCIAL DE LA FAC. SALUD: 4 EVENTOS
-  REALIZACION Y PARTICIPACION EN EVENTOS DE PROYECCION SOCIAL DE LA FAC. DE ECONOMÍA Y ADMINISTRACIÓN: 28 EVENTOS
-  REALIZACION Y PARTICIPACION EN EVENTOS DE PROYECCION SOCIAL DE LA FAC. CIENCIAS EXACTAS Y NATURALES: 1  EVENTO
-  REALIZACION Y PARTICIPACION EN EVENTOS DE PROYECCION SOCIAL DE LA FAC. CIENCIAS SOCIALES Y HUMANAS: 1  EVENTO</v>
      </c>
    </row>
    <row r="78" spans="1:50" ht="35.25" customHeight="1" x14ac:dyDescent="0.25">
      <c r="A78" s="620"/>
      <c r="B78" s="542"/>
      <c r="C78" s="26" t="str">
        <f>Asignación!A73</f>
        <v>SP-PY3.5</v>
      </c>
      <c r="D78" s="258" t="str">
        <f>Asignación!B73</f>
        <v>Apoyos financieros a la suscripción de convenios interinstitucionales.</v>
      </c>
      <c r="E78" s="26">
        <f>Asignación!C73</f>
        <v>520</v>
      </c>
      <c r="F78" s="248" t="s">
        <v>186</v>
      </c>
      <c r="G78" s="331">
        <f>'S. PROY. SOCIAL '!G12</f>
        <v>48</v>
      </c>
      <c r="H78" s="210" t="str">
        <f>'S. PROY. SOCIAL '!H12</f>
        <v>CONVENIOS</v>
      </c>
      <c r="I78" s="5">
        <f>Asignación!K73</f>
        <v>11500000</v>
      </c>
      <c r="J78" s="5">
        <f>'S. PROY. SOCIAL '!J12</f>
        <v>0</v>
      </c>
      <c r="K78" s="5">
        <f t="shared" si="25"/>
        <v>11500000</v>
      </c>
      <c r="L78" s="262">
        <f>'S. PROY. SOCIAL '!L12</f>
        <v>0</v>
      </c>
      <c r="M78" s="271">
        <f>'S. PROY. SOCIAL '!M12</f>
        <v>0</v>
      </c>
      <c r="N78" s="262">
        <f>'S. PROY. SOCIAL '!N12</f>
        <v>0</v>
      </c>
      <c r="O78" s="271">
        <f>'S. PROY. SOCIAL '!O12</f>
        <v>0</v>
      </c>
      <c r="P78" s="262">
        <f>'S. PROY. SOCIAL '!P12</f>
        <v>0</v>
      </c>
      <c r="Q78" s="271">
        <f>'S. PROY. SOCIAL '!Q12</f>
        <v>0</v>
      </c>
      <c r="R78" s="262">
        <f>'S. PROY. SOCIAL '!R12</f>
        <v>0</v>
      </c>
      <c r="S78" s="267">
        <f t="shared" si="26"/>
        <v>0</v>
      </c>
      <c r="T78" s="267">
        <f t="shared" si="27"/>
        <v>0</v>
      </c>
      <c r="U78" s="267">
        <f t="shared" si="14"/>
        <v>0</v>
      </c>
      <c r="V78" s="268" t="str">
        <f>'S. INVESTIGACIÓN'!V13</f>
        <v>SE ESTA EN PROCESO DE EVALUACIÓN Y SELECCIÓN DE LAS PROPUESTAS DE INVESTIGACIÓN QUE VAN A SER ASESORADOS PARA EL AÑO 2017
Nombre del Grupo de Investigación - Pregunta de Investigación
1. CONVIVIR EN PAZ - ¿Cuáles son los problemas de convivencia escolar que cotidianamente se observan en la Institución Educativa San Lorenzo del Municipio de Suaza?
2. TEJEDORES DE SUEÑOS - ¿Cómo rescatar la artesanía del sombrero Suaza para que no desparezca su tradición y como proyectar un relevo generacional en los jóvenes del municipio de Suaza para que continúe la trayectoria de las artesanas de avanzada edad?
3. CLUB ESCOLAR DE CIENCIA, TECNOLOGIA E INNOVACIÓN SAN JUAN BOSCO - ¿Históricamente cuáles plantas medicinales han sido utilizadas en la comunidad educativa y para qué sintomatología son utilizadas?, ¿Las familias de los estudiantes de los grados de secundaria en qué proporción son adictas al tratamiento con productos naturales o de la medicina farmacéutica?, ¿Cuáles son las razones de ese comportamiento?
4. SONAE - ¿cuáles son las especies de plantas de uso comestibles en el casco urbano, así como en las veredas Pueblo Viejo, Llanitos y buenos Aires del Municipio Acevedo y como se elaboran las recetas gastronómicas locales a partir de ellas?
5. PINVAMAC (PEQUEÑOS INVESTIGADORES AMBIENTALES DE ACEVEDO) - ¿cuál es el estado actual en la que se encuentra la quebrada el cangrejo del Municipio de Acevedo, Huila?
6. PEQUEÑOS INNOVADORES - ¿Que utilidad se le puede dar a los residuos sólidos de la institución educativa San Adolfo sede la Esperanza?
7. SANADOECO - Cómo aprovechar algunos residuos sólidos en la transformación manual para el embellecimiento de nuestra Institución.
8. REVERDESER - Qué viabilidad hay en la producción de abono orgánico con la pulpa de café en la institución educativa San Adolfo
9. SEMILLAS DE INVESTIGACION - ¿cuál es la onda de luz más benéfica para el crecimiento de semillas de frijol, maíz y arveja?
10. VIGIAS AMBIENTALES ESCOLARES - ¿Cuáles fuentes hídricas de la región han desaparecido y cuales han disminuido su caudal? ¿Cuáles han sido las causas de la desaparición o disminución de caudales? ¿Qué acciones se pueden sugerir para  preservación? 
11. LIBROS LIBRES - ¿Cómo lograr que los estudiantes de la zona rural de nuestro municipio puedan acceder a obras literarias de bajo costo y alta calidad sin violar derechos de autor?
12. LUPITOS - ¿Cómo obtener gas natural a partir de los residuos orgánicos producidos en nuestra comunidad educativa?
13. EN LA PREVENCIÓN DE LA DESERCIÓN ESCOLAR - ¿Cuáles son las causas que provocan la deserción escolar y que estrategias se pueden implementar para reducir la problemática teniendo en cuenta la taza presentada en el año 2016 en la Institución educativa Esteban Rojas Tovar del municipio de Tarqui Huila?
14. CONECTATE CON EL INGLÉS "CONECTA2" - ¿Cuál es la mejor técnica para el aprendizaje de vocabulario básico en inglés para los estudiantes de la zona rural de la I.E San Isidro del municipio de Acevedo dentro y fuera del aula de clase?
15. RECICLANDO SUEÑOS - ¿Qué estrategias implementar para que los niños y la comunidad educativa San Isidro adopten Como práctica cotidiana la selección de los residuos sólidos y fomento de una cultura ambiental de la mano de la comunidad y las autoridades ambientales del municipio desarrollando  la Construcción de cultura ambiental y ciudadanía?
16. FUTURITOS AMIGOS DEL MEDIO AMBIENTE - ¿Cómo podemos reutilizar los residuos sólidos de la Institución Educativa San Juan Bosco para minimizar la contaminación ambiental en nuestra comunidad estudiantil?
17. CONQUISTADORES DEL ENTORNO - ¿Cómo está el entorno de la fuente termal y azufrada que desemboca en la quebrada del Chuyaco del municipio de Tarqui? ¿Cómo podemos preservar esta fuente?
18. ELECTRÓN - ¿Cuáles plantas medicinales y para qué sintomatología podrían ser utilizadas en la comunidad educativa de la I.E. San Isidro?
19. DEFENSORES DEL AGUA - ¿En qué condiciones se encuentra el agua en los nacederos de las veredas Las Juntas, El Vergel, Alto Tablón, La Argentina y Esmeralda? ¿Cómo cuidarlas?
20. TEJIENDO PASOS - ¿Como el arte del tejido de la iraca desde el saber tradicional fortalece el patrimonio cultural y la educación propia de la comunidad educativa de la Institución Educativa la Unión del municipio de Suaza?
21. AQUANIÑOS - ¿El árbol nacedero aumenta los caudales hídricos de la vereda las Brisas de San Isidro Acevedo Huila?
22. CAFETERITOS INVESTIGADORES - ¿Cómo nace, crece y se produce el árbol de café?
23. LOS DRAMÁTICOS FASE II - Cómo potenciar mis habilidades en la puesta en escena?
24. ORALIDAD Y ESCRITURA: TEJIENDO IDENTIDAD A PARTIR DE NUESTRO PASADO - ¿Cómo nuestra memoria colectiva y el pasado, expresado en los  mitos y leyendas,  reafirma nuestra identidad huilense  y el amor por nuestra región?
25. GREEN ENERGY - ¿Cómo aprovechar la energía magnética para aplicarla en la vida cotidiana de los educandos de grado Séptimo de la Institución Educativa Marticas del municipio de Acevedo - Huila?
26. ROBOTICS - ¿Cómo aplicar la robótica desde  el área de Ciencias Naturales en los niños de grado Cuarto de la Institución Educativa Marticas de Acevedo, Huila?
27. LOS DRONS - ¿Cómo incentivar el interés por la robótica con recursos caseros en el grado Octavo de la Institución Educativa Marticas del municipio de Acevedo - Huila?
28. LOS PRIME - ¿Cómo diseñar un sistema de transformación de la energía con recursos reciclables en el grado Quinto de la Institución Educativa Marticas del municipio de Acevedo - Huila?
29. ECOCREADORES - ¿La fabricación de algunos útiles escolares con material casero y reciclado permitirá aumentar la eficiencia académica de los estudiantes de la I.E. Marticas del municipio de Acevedo?
30. TECNO-RECICLADORES - ¿Como las salas de monitores en red con una sola C.P.U contribuyen  a solucionar el problema de la falta de material audiovisual para el desarrollo académico y contribuye a la parte ambiental?
31. PEQUEGENIOS - Cuales son las fortalezas y debilidades de utilizar de algunas plantas medicinales en el control del vectores (cucarachas)
32. LOS CREATIVOS - cómo utilizar la biomasa y generar energía?
33. ESCRITORES DE LIBERTAD - ¿Cómo fortalecer la comunicación y la sana convivencia mediante la ejecución del periódico escolar virtual, estimulando la lectura y comprensión lectora en los estudiantes de los grados tercero, Cuarto y quinto de la Institución Educativa la Unión del municipio de Suaza Huila?
34. ALIMENTANDO CON AMOR ATRAVES DE NUESTRA HISTORIA - ¿Cuál es la importancia del aprovechamiento y utilización de los productos tradicionales de la región de San José de Riecito en el municipio de Acevedo Huila?
35. FAMILECTORES - ¿Cuál es el nivel educativo y los hábitos lectores de los padres de familia y estudiantes de la sede principal de la institución educativa la Victoria y que estrategias se pueden implementar para mejorar la formación de hábitos de estudio?
36. GUARDIANES AMBIENTALES - ¿Cómo podemos mejorar nuestro entorno ambiental a través del trabajo en equipo con los miembros de la comunidad de la Institución Educativa La Victoria?
37. ABONOR - Como Fortalecer procesos de certificación en la producción de abonos orgánicos para implementar la agricultura limpia.
38. COMIENDO ME NUTRO Y APRENDO - ¿Cómo crear buenos hábitos alimenticios en los 23 Estudiantes  de la sede Paraíso de la I.E. La Bernarda del municipio de Guadalupe - Huila?
39. EN LA ONDA DEL RECICLAJE - ¿Históricamente cuáles han sido las prácticas más usuales en la disposición final de los residuos orgánicos e inorgánicos? ¿Cuáles considera como buenas prácticas en esta materia que puedan ser tenidas en cuenta en la cultura ciudadana ambiental?
40. LOS AGENTES DEL AMBIENTE - ¿Cómo podemos disminuir la contaminación del medio ambiental a través de la utilización de los desechos que se producen a la hora del procesamiento del café en la I. E. Bateas Sede El Encanto?
41. GUADUALITOS - ¿Cómo se puede establecer un plan de aprovechamiento sostenible para la especie Guadua en la comunidad educativa de las veredas La Colonia y Los Guaduales?
42. LOS AMIGOS DE LA TIERRA - ¿Cómo disponer y aprovechar de forma adecuada los residuos sólidos orgánicos e inorgánicos generados en la sede Aguas Claras de la IE San Adolfo del municipio de Acevedo?
43. LOS ECOLOGISTAS DEL FUTURO - ¿Por qué a los niños y niñas de la Sede Sartenejal, les cuesta trabajo reciclar?
44. SEMILLAS DE AMOR - ¿Cuál es la incidencia que tiene la huerta escolar en la construcción de aprendizajes significativos, desde la interdisciplinariedad en los niños y niñas de la Institución Educativa José Acevedo y Gómez – Sede El Mirador?
45. EUREKA - ¿fuente hídrica? ¿Qué acciones podemos realizar para recuperarla?
46. BIOJUVENTUD - ¿Cómo podemos implementar procesos de calidad en la producción de Bioinsecticidas?</v>
      </c>
      <c r="W78" s="5">
        <f>'S. PROY. SOCIAL '!W12</f>
        <v>11500000</v>
      </c>
      <c r="X78" s="5">
        <f>'S. PROY. SOCIAL '!X12</f>
        <v>0</v>
      </c>
      <c r="Y78" s="5">
        <f>'S. PROY. SOCIAL '!Y12</f>
        <v>11500000</v>
      </c>
      <c r="Z78" s="5">
        <f>'S. PROY. SOCIAL '!Z12</f>
        <v>0</v>
      </c>
      <c r="AA78" s="311">
        <f>'S. PROY. SOCIAL '!AA12</f>
        <v>0</v>
      </c>
      <c r="AB78" s="5">
        <f>'S. PROY. SOCIAL '!AB12</f>
        <v>0</v>
      </c>
      <c r="AC78" s="311">
        <f>'S. PROY. SOCIAL '!AC12</f>
        <v>0</v>
      </c>
      <c r="AD78" s="5">
        <f>'S. PROY. SOCIAL '!AD12</f>
        <v>0</v>
      </c>
      <c r="AE78" s="311">
        <f>'S. PROY. SOCIAL '!AE12</f>
        <v>0</v>
      </c>
      <c r="AF78" s="5">
        <f>'S. PROY. SOCIAL '!AF12</f>
        <v>0</v>
      </c>
      <c r="AG78" s="249">
        <f t="shared" si="28"/>
        <v>0</v>
      </c>
      <c r="AH78" s="249">
        <f t="shared" si="29"/>
        <v>0</v>
      </c>
      <c r="AI78" s="249">
        <f t="shared" si="32"/>
        <v>0</v>
      </c>
      <c r="AJ78" s="268" t="str">
        <f>'S. PROY. SOCIAL '!AJ12</f>
        <v>A la fecha no se ha ejecutado el recurso debido a que no se han suscrito convenios que requieran el apoyo con la adquisición de pólizas entre otros.</v>
      </c>
      <c r="AK78" s="5">
        <f>'S. PROY. SOCIAL '!AK12</f>
        <v>11500000</v>
      </c>
      <c r="AL78" s="5">
        <f>'S. PROY. SOCIAL '!AL12</f>
        <v>5980283</v>
      </c>
      <c r="AM78" s="5">
        <f>'S. PROY. SOCIAL '!AM12</f>
        <v>5519717</v>
      </c>
      <c r="AN78" s="5">
        <f>'S. PROY. SOCIAL '!AN12</f>
        <v>0</v>
      </c>
      <c r="AO78" s="311">
        <f>'S. PROY. SOCIAL '!AO12</f>
        <v>0</v>
      </c>
      <c r="AP78" s="5">
        <f>'S. PROY. SOCIAL '!AP12</f>
        <v>2</v>
      </c>
      <c r="AQ78" s="311">
        <f>'S. PROY. SOCIAL '!AQ12</f>
        <v>4.1666666666666664E-2</v>
      </c>
      <c r="AR78" s="5">
        <f>'S. PROY. SOCIAL '!AR12</f>
        <v>0</v>
      </c>
      <c r="AS78" s="311">
        <f>'S. PROY. SOCIAL '!AS12</f>
        <v>0</v>
      </c>
      <c r="AT78" s="5">
        <f>'S. PROY. SOCIAL '!AT12</f>
        <v>2</v>
      </c>
      <c r="AU78" s="363">
        <f t="shared" si="30"/>
        <v>0.52002460869565215</v>
      </c>
      <c r="AV78" s="363">
        <f t="shared" si="31"/>
        <v>4.1666666666666664E-2</v>
      </c>
      <c r="AW78" s="363">
        <f t="shared" si="16"/>
        <v>0.28084563768115939</v>
      </c>
      <c r="AX78" s="354" t="str">
        <f>'S. PROY. SOCIAL '!AX12</f>
        <v>Se está apoyando con la financiación de la suscripción de 2 convenios.
- Convenio intercambio brasil
- CONTRATO  INTERADMINISTRATIVO 879</v>
      </c>
    </row>
    <row r="79" spans="1:50" ht="49.5" customHeight="1" x14ac:dyDescent="0.25">
      <c r="A79" s="620"/>
      <c r="B79" s="542"/>
      <c r="C79" s="26" t="str">
        <f>Asignación!A74</f>
        <v>SP-PY3.6</v>
      </c>
      <c r="D79" s="258" t="str">
        <f>Asignación!B74</f>
        <v>Apoyo a la gestión academico-administrativa de la Proyección Social.</v>
      </c>
      <c r="E79" s="26">
        <f>Asignación!C74</f>
        <v>520</v>
      </c>
      <c r="F79" s="248" t="s">
        <v>239</v>
      </c>
      <c r="G79" s="331">
        <f>'S. PROY. SOCIAL '!G13</f>
        <v>50</v>
      </c>
      <c r="H79" s="210" t="str">
        <f>'S. PROY. SOCIAL '!H13</f>
        <v>APOYO GESTIÓN ACADÉMICO ADMINISTRATIVA</v>
      </c>
      <c r="I79" s="5">
        <f>Asignación!K74</f>
        <v>294084973</v>
      </c>
      <c r="J79" s="5">
        <f>'S. PROY. SOCIAL '!J13</f>
        <v>226948438</v>
      </c>
      <c r="K79" s="5">
        <f t="shared" si="25"/>
        <v>67136535</v>
      </c>
      <c r="L79" s="262">
        <f>'S. PROY. SOCIAL '!L13</f>
        <v>4</v>
      </c>
      <c r="M79" s="271">
        <f>'S. PROY. SOCIAL '!M13</f>
        <v>0.08</v>
      </c>
      <c r="N79" s="262">
        <f>'S. PROY. SOCIAL '!N13</f>
        <v>3</v>
      </c>
      <c r="O79" s="271">
        <f>'S. PROY. SOCIAL '!O13</f>
        <v>0.06</v>
      </c>
      <c r="P79" s="262">
        <f>'S. PROY. SOCIAL '!P13</f>
        <v>0</v>
      </c>
      <c r="Q79" s="271">
        <f>'S. PROY. SOCIAL '!Q13</f>
        <v>0</v>
      </c>
      <c r="R79" s="262">
        <f>'S. PROY. SOCIAL '!R13</f>
        <v>7</v>
      </c>
      <c r="S79" s="267">
        <f t="shared" si="26"/>
        <v>0.77171041989962541</v>
      </c>
      <c r="T79" s="267">
        <f t="shared" si="27"/>
        <v>0.14000000000000001</v>
      </c>
      <c r="U79" s="267">
        <f t="shared" si="14"/>
        <v>0.45585520994981271</v>
      </c>
      <c r="V79" s="268" t="str">
        <f>'S. INVESTIGACIÓN'!V14</f>
        <v>NO SE HA EJECUTADO EN ESTE TRIMESTRE</v>
      </c>
      <c r="W79" s="5">
        <f>'S. PROY. SOCIAL '!W13</f>
        <v>522163812</v>
      </c>
      <c r="X79" s="5">
        <f>'S. PROY. SOCIAL '!X13</f>
        <v>237092466</v>
      </c>
      <c r="Y79" s="5">
        <f>'S. PROY. SOCIAL '!Y13</f>
        <v>285071346</v>
      </c>
      <c r="Z79" s="5">
        <f>'S. PROY. SOCIAL '!Z13</f>
        <v>9</v>
      </c>
      <c r="AA79" s="311">
        <f>'S. PROY. SOCIAL '!AA13</f>
        <v>0.18</v>
      </c>
      <c r="AB79" s="5">
        <f>'S. PROY. SOCIAL '!AB13</f>
        <v>8</v>
      </c>
      <c r="AC79" s="311">
        <f>'S. PROY. SOCIAL '!AC13</f>
        <v>0.16</v>
      </c>
      <c r="AD79" s="5">
        <f>'S. PROY. SOCIAL '!AD13</f>
        <v>6</v>
      </c>
      <c r="AE79" s="311">
        <f>'S. PROY. SOCIAL '!AE13</f>
        <v>0.12</v>
      </c>
      <c r="AF79" s="5">
        <f>'S. PROY. SOCIAL '!AF13</f>
        <v>23</v>
      </c>
      <c r="AG79" s="249">
        <f t="shared" si="28"/>
        <v>0.45405763584397918</v>
      </c>
      <c r="AH79" s="249">
        <f t="shared" si="29"/>
        <v>0.45999999999999996</v>
      </c>
      <c r="AI79" s="249">
        <f t="shared" si="32"/>
        <v>0.45702881792198957</v>
      </c>
      <c r="AJ79" s="268" t="str">
        <f>'S. PROY. SOCIAL '!AJ13</f>
        <v>Se contratan 23 personas para apoyo, así
Diego Fernando González.  Contrato FE 001/17A
Xenny Yolima Méndez.  Contrato FE 002/17A
Tania Alexandra Medina.  Contrato FE 003/17A  
Carlos Fernando Quimbaya.   Contrato FE 004/17A
Libia Marina Preciado.  Contrato
Sandra Bibiana Gómez.  Contrato
Isabel González Sierra.  Contrato
Jesús David Falla Arango.  Contrato
Manuel Alexander Lara Cárdenas.  Contrato
Diana Yubely Vargas Rojas.  Contrato
Ana María Mañosca Ramírez  Contrato
Carlos Andrés Montalvo Arce.  Contrato
María Yedme Sánchez.  Contrato
Lizeth Vargas Sánchez.  Contrato
Camilo Andrés Nuñez.  Contrato
Wilmer Alexander Barbosa.  Contrato
Sandra Constanza Vanegas Camacho.  Contrato
Jessica Paola Bermeo.  Contrato
Juan Diego Chávarro.  Contrato
Fabián Esteban Charry Rodríguez.  Contrato
María Piedad Rincón.  Contrato
Viviana Andrea López.  Contrato VIPS 009
Alba Luz Ocaña.  Contrato VIPS 010</v>
      </c>
      <c r="AK79" s="5">
        <f>'S. PROY. SOCIAL '!AK13</f>
        <v>522163812</v>
      </c>
      <c r="AL79" s="5">
        <f>'S. PROY. SOCIAL '!AL13</f>
        <v>466915039</v>
      </c>
      <c r="AM79" s="5">
        <f>'S. PROY. SOCIAL '!AM13</f>
        <v>55248773</v>
      </c>
      <c r="AN79" s="5">
        <f>'S. PROY. SOCIAL '!AN13</f>
        <v>9</v>
      </c>
      <c r="AO79" s="311">
        <f>'S. PROY. SOCIAL '!AO13</f>
        <v>0.18</v>
      </c>
      <c r="AP79" s="5">
        <f>'S. PROY. SOCIAL '!AP13</f>
        <v>7</v>
      </c>
      <c r="AQ79" s="311">
        <f>'S. PROY. SOCIAL '!AQ13</f>
        <v>0.14000000000000001</v>
      </c>
      <c r="AR79" s="5">
        <f>'S. PROY. SOCIAL '!AR13</f>
        <v>11</v>
      </c>
      <c r="AS79" s="311">
        <f>'S. PROY. SOCIAL '!AS13</f>
        <v>0.22</v>
      </c>
      <c r="AT79" s="5">
        <f>'S. PROY. SOCIAL '!AT13</f>
        <v>27</v>
      </c>
      <c r="AU79" s="363">
        <f t="shared" si="30"/>
        <v>0.89419264274867061</v>
      </c>
      <c r="AV79" s="363">
        <f t="shared" si="31"/>
        <v>0.54</v>
      </c>
      <c r="AW79" s="363">
        <f t="shared" si="16"/>
        <v>0.71709632137433532</v>
      </c>
      <c r="AX79" s="354" t="str">
        <f>'S. PROY. SOCIAL '!AX13</f>
        <v>Apoyo a la gestión academico-administrativa de la Proyección Social con la contratación de 27 personas</v>
      </c>
    </row>
    <row r="80" spans="1:50" ht="36" customHeight="1" x14ac:dyDescent="0.25">
      <c r="A80" s="620"/>
      <c r="B80" s="542"/>
      <c r="C80" s="26" t="str">
        <f>Asignación!A75</f>
        <v>SP-PY3.7</v>
      </c>
      <c r="D80" s="258" t="str">
        <f>Asignación!B75</f>
        <v>Apoyos cursos de formación continuada a egresados de las sedes Neiva, Garzón, Pitalito y la Plata.</v>
      </c>
      <c r="E80" s="26">
        <f>Asignación!C75</f>
        <v>520</v>
      </c>
      <c r="F80" s="248" t="s">
        <v>89</v>
      </c>
      <c r="G80" s="36">
        <f>'S. PROY. SOCIAL '!G14</f>
        <v>0</v>
      </c>
      <c r="H80" s="210">
        <f>'S. PROY. SOCIAL '!H14</f>
        <v>0</v>
      </c>
      <c r="I80" s="5">
        <f>Asignación!K75</f>
        <v>0</v>
      </c>
      <c r="J80" s="5">
        <f>'S. PROY. SOCIAL '!J14</f>
        <v>0</v>
      </c>
      <c r="K80" s="5">
        <f t="shared" si="25"/>
        <v>0</v>
      </c>
      <c r="L80" s="262">
        <f>'S. PROY. SOCIAL '!L14</f>
        <v>0</v>
      </c>
      <c r="M80" s="271">
        <f>'S. PROY. SOCIAL '!M14</f>
        <v>0</v>
      </c>
      <c r="N80" s="262">
        <f>'S. PROY. SOCIAL '!N14</f>
        <v>0</v>
      </c>
      <c r="O80" s="271">
        <f>'S. PROY. SOCIAL '!O14</f>
        <v>0</v>
      </c>
      <c r="P80" s="262">
        <f>'S. PROY. SOCIAL '!P14</f>
        <v>0</v>
      </c>
      <c r="Q80" s="271">
        <f>'S. PROY. SOCIAL '!Q14</f>
        <v>0</v>
      </c>
      <c r="R80" s="262">
        <f>'S. PROY. SOCIAL '!R14</f>
        <v>0</v>
      </c>
      <c r="S80" s="267">
        <f t="shared" si="26"/>
        <v>0</v>
      </c>
      <c r="T80" s="267">
        <f t="shared" si="27"/>
        <v>0</v>
      </c>
      <c r="U80" s="267">
        <f t="shared" si="14"/>
        <v>0</v>
      </c>
      <c r="V80" s="268" t="str">
        <f>'S. INVESTIGACIÓN'!V15</f>
        <v>NO SE HA EJECUTADO EN ESTE TRIMESTRE</v>
      </c>
      <c r="W80" s="5">
        <f>'S. PROY. SOCIAL '!W14</f>
        <v>0</v>
      </c>
      <c r="X80" s="5">
        <f>'S. PROY. SOCIAL '!X14</f>
        <v>0</v>
      </c>
      <c r="Y80" s="5">
        <f>'S. PROY. SOCIAL '!Y14</f>
        <v>0</v>
      </c>
      <c r="Z80" s="5">
        <f>'S. PROY. SOCIAL '!Z14</f>
        <v>0</v>
      </c>
      <c r="AA80" s="311">
        <f>'S. PROY. SOCIAL '!AA14</f>
        <v>0</v>
      </c>
      <c r="AB80" s="5">
        <f>'S. PROY. SOCIAL '!AB14</f>
        <v>0</v>
      </c>
      <c r="AC80" s="311">
        <f>'S. PROY. SOCIAL '!AC14</f>
        <v>0</v>
      </c>
      <c r="AD80" s="5">
        <f>'S. PROY. SOCIAL '!AD14</f>
        <v>0</v>
      </c>
      <c r="AE80" s="311">
        <f>'S. PROY. SOCIAL '!AE14</f>
        <v>0</v>
      </c>
      <c r="AF80" s="5">
        <f>'S. PROY. SOCIAL '!AF14</f>
        <v>0</v>
      </c>
      <c r="AG80" s="249">
        <f t="shared" si="28"/>
        <v>0</v>
      </c>
      <c r="AH80" s="249">
        <f t="shared" si="29"/>
        <v>0</v>
      </c>
      <c r="AI80" s="249">
        <f t="shared" si="32"/>
        <v>0</v>
      </c>
      <c r="AJ80" s="268">
        <f>'S. PROY. SOCIAL '!AJ14</f>
        <v>0</v>
      </c>
      <c r="AK80" s="5">
        <f>'S. PROY. SOCIAL '!AK14</f>
        <v>0</v>
      </c>
      <c r="AL80" s="5">
        <f>'S. PROY. SOCIAL '!AL14</f>
        <v>0</v>
      </c>
      <c r="AM80" s="5">
        <f>'S. PROY. SOCIAL '!AM14</f>
        <v>0</v>
      </c>
      <c r="AN80" s="5">
        <f>'S. PROY. SOCIAL '!AN14</f>
        <v>0</v>
      </c>
      <c r="AO80" s="311">
        <f>'S. PROY. SOCIAL '!AO14</f>
        <v>0</v>
      </c>
      <c r="AP80" s="5">
        <f>'S. PROY. SOCIAL '!AP14</f>
        <v>0</v>
      </c>
      <c r="AQ80" s="311">
        <f>'S. PROY. SOCIAL '!AQ14</f>
        <v>0</v>
      </c>
      <c r="AR80" s="5">
        <f>'S. PROY. SOCIAL '!AR14</f>
        <v>0</v>
      </c>
      <c r="AS80" s="311">
        <f>'S. PROY. SOCIAL '!AS14</f>
        <v>0</v>
      </c>
      <c r="AT80" s="5">
        <f>'S. PROY. SOCIAL '!AT14</f>
        <v>0</v>
      </c>
      <c r="AU80" s="363">
        <f t="shared" si="30"/>
        <v>0</v>
      </c>
      <c r="AV80" s="363">
        <f t="shared" si="31"/>
        <v>0</v>
      </c>
      <c r="AW80" s="363">
        <f t="shared" si="16"/>
        <v>0</v>
      </c>
      <c r="AX80" s="354">
        <f>'S. PROY. SOCIAL '!AX14</f>
        <v>0</v>
      </c>
    </row>
    <row r="81" spans="1:50" ht="34.5" customHeight="1" x14ac:dyDescent="0.25">
      <c r="A81" s="620"/>
      <c r="B81" s="543"/>
      <c r="C81" s="26" t="str">
        <f>Asignación!A76</f>
        <v>SP-PY3.8</v>
      </c>
      <c r="D81" s="258" t="str">
        <f>Asignación!B76</f>
        <v>Apoyo anual para el fortalecimiento y consolidación del Programa de Gestión Tecnológica.</v>
      </c>
      <c r="E81" s="26">
        <f>Asignación!C76</f>
        <v>520</v>
      </c>
      <c r="F81" s="248" t="s">
        <v>89</v>
      </c>
      <c r="G81" s="36">
        <f>'S. PROY. SOCIAL '!G15</f>
        <v>0</v>
      </c>
      <c r="H81" s="210">
        <f>'S. PROY. SOCIAL '!H15</f>
        <v>0</v>
      </c>
      <c r="I81" s="5">
        <f>Asignación!K76</f>
        <v>0</v>
      </c>
      <c r="J81" s="5">
        <f>'S. PROY. SOCIAL '!J15</f>
        <v>0</v>
      </c>
      <c r="K81" s="5">
        <f t="shared" si="25"/>
        <v>0</v>
      </c>
      <c r="L81" s="262">
        <f>'S. PROY. SOCIAL '!L15</f>
        <v>0</v>
      </c>
      <c r="M81" s="271">
        <f>'S. PROY. SOCIAL '!M15</f>
        <v>0</v>
      </c>
      <c r="N81" s="262">
        <f>'S. PROY. SOCIAL '!N15</f>
        <v>0</v>
      </c>
      <c r="O81" s="271">
        <f>'S. PROY. SOCIAL '!O15</f>
        <v>0</v>
      </c>
      <c r="P81" s="262">
        <f>'S. PROY. SOCIAL '!P15</f>
        <v>0</v>
      </c>
      <c r="Q81" s="271">
        <f>'S. PROY. SOCIAL '!Q15</f>
        <v>0</v>
      </c>
      <c r="R81" s="262">
        <f>'S. PROY. SOCIAL '!R15</f>
        <v>0</v>
      </c>
      <c r="S81" s="267">
        <f t="shared" si="26"/>
        <v>0</v>
      </c>
      <c r="T81" s="267">
        <f t="shared" si="27"/>
        <v>0</v>
      </c>
      <c r="U81" s="267">
        <f t="shared" si="14"/>
        <v>0</v>
      </c>
      <c r="V81" s="268" t="str">
        <f>'S. INVESTIGACIÓN'!V16</f>
        <v>Consolidación de grupos de Investigación:
1 - FACULTAD DE CIENCIAS JURIDICA Y POLITICAS - NUEVAS VISIONES DEL DERECHO: AVANCE 014</v>
      </c>
      <c r="W81" s="5">
        <f>'S. PROY. SOCIAL '!W15</f>
        <v>0</v>
      </c>
      <c r="X81" s="5">
        <f>'S. PROY. SOCIAL '!X15</f>
        <v>0</v>
      </c>
      <c r="Y81" s="5">
        <f>'S. PROY. SOCIAL '!Y15</f>
        <v>0</v>
      </c>
      <c r="Z81" s="5">
        <f>'S. PROY. SOCIAL '!Z15</f>
        <v>0</v>
      </c>
      <c r="AA81" s="311">
        <f>'S. PROY. SOCIAL '!AA15</f>
        <v>0</v>
      </c>
      <c r="AB81" s="5">
        <f>'S. PROY. SOCIAL '!AB15</f>
        <v>0</v>
      </c>
      <c r="AC81" s="311">
        <f>'S. PROY. SOCIAL '!AC15</f>
        <v>0</v>
      </c>
      <c r="AD81" s="5">
        <f>'S. PROY. SOCIAL '!AD15</f>
        <v>0</v>
      </c>
      <c r="AE81" s="311">
        <f>'S. PROY. SOCIAL '!AE15</f>
        <v>0</v>
      </c>
      <c r="AF81" s="5">
        <f>'S. PROY. SOCIAL '!AF15</f>
        <v>0</v>
      </c>
      <c r="AG81" s="249">
        <f t="shared" si="28"/>
        <v>0</v>
      </c>
      <c r="AH81" s="249">
        <f t="shared" si="29"/>
        <v>0</v>
      </c>
      <c r="AI81" s="249">
        <f t="shared" si="32"/>
        <v>0</v>
      </c>
      <c r="AJ81" s="268">
        <f>'S. PROY. SOCIAL '!AJ15</f>
        <v>0</v>
      </c>
      <c r="AK81" s="5">
        <f>'S. PROY. SOCIAL '!AK15</f>
        <v>0</v>
      </c>
      <c r="AL81" s="5">
        <f>'S. PROY. SOCIAL '!AL15</f>
        <v>0</v>
      </c>
      <c r="AM81" s="5">
        <f>'S. PROY. SOCIAL '!AM15</f>
        <v>0</v>
      </c>
      <c r="AN81" s="5">
        <f>'S. PROY. SOCIAL '!AN15</f>
        <v>0</v>
      </c>
      <c r="AO81" s="311">
        <f>'S. PROY. SOCIAL '!AO15</f>
        <v>0</v>
      </c>
      <c r="AP81" s="5">
        <f>'S. PROY. SOCIAL '!AP15</f>
        <v>0</v>
      </c>
      <c r="AQ81" s="311">
        <f>'S. PROY. SOCIAL '!AQ15</f>
        <v>0</v>
      </c>
      <c r="AR81" s="5">
        <f>'S. PROY. SOCIAL '!AR15</f>
        <v>0</v>
      </c>
      <c r="AS81" s="311">
        <f>'S. PROY. SOCIAL '!AS15</f>
        <v>0</v>
      </c>
      <c r="AT81" s="5">
        <f>'S. PROY. SOCIAL '!AT15</f>
        <v>0</v>
      </c>
      <c r="AU81" s="363">
        <f t="shared" si="30"/>
        <v>0</v>
      </c>
      <c r="AV81" s="363">
        <f t="shared" si="31"/>
        <v>0</v>
      </c>
      <c r="AW81" s="363">
        <f t="shared" si="16"/>
        <v>0</v>
      </c>
      <c r="AX81" s="354">
        <f>'S. PROY. SOCIAL '!AX15</f>
        <v>0</v>
      </c>
    </row>
    <row r="82" spans="1:50" ht="45" customHeight="1" x14ac:dyDescent="0.25">
      <c r="A82" s="620" t="s">
        <v>207</v>
      </c>
      <c r="B82" s="541" t="s">
        <v>244</v>
      </c>
      <c r="C82" s="26" t="str">
        <f>Asignación!A77</f>
        <v>SP-PY4.1</v>
      </c>
      <c r="D82" s="258" t="str">
        <f>Asignación!B77</f>
        <v>Implementación y operacionalización de la Unidad de Emprendimiento e Innovación.</v>
      </c>
      <c r="E82" s="26">
        <f>Asignación!C77</f>
        <v>520</v>
      </c>
      <c r="F82" s="248" t="s">
        <v>89</v>
      </c>
      <c r="G82" s="331">
        <f>'S. PROY. SOCIAL '!G16</f>
        <v>25</v>
      </c>
      <c r="H82" s="210" t="str">
        <f>'S. PROY. SOCIAL '!H16</f>
        <v>YA FUE IMPLEMENTADA DEBE DESAPARECER (CAMBIAR SOLO A OPERACIONALIZACIÓN - Número de Miembros de la Comunidad Universitaria Atendidas Mediante Asesorías)</v>
      </c>
      <c r="I82" s="5">
        <f>Asignación!K77</f>
        <v>30000000</v>
      </c>
      <c r="J82" s="5">
        <f>'S. PROY. SOCIAL '!J16</f>
        <v>742630</v>
      </c>
      <c r="K82" s="5">
        <f t="shared" si="25"/>
        <v>29257370</v>
      </c>
      <c r="L82" s="262">
        <f>'S. PROY. SOCIAL '!L16</f>
        <v>0</v>
      </c>
      <c r="M82" s="271">
        <f>'S. PROY. SOCIAL '!M16</f>
        <v>0</v>
      </c>
      <c r="N82" s="262">
        <f>'S. PROY. SOCIAL '!N16</f>
        <v>0</v>
      </c>
      <c r="O82" s="271">
        <f>'S. PROY. SOCIAL '!O16</f>
        <v>0</v>
      </c>
      <c r="P82" s="262">
        <f>'S. PROY. SOCIAL '!P16</f>
        <v>0</v>
      </c>
      <c r="Q82" s="271">
        <f>'S. PROY. SOCIAL '!Q16</f>
        <v>0</v>
      </c>
      <c r="R82" s="262">
        <f>'S. PROY. SOCIAL '!R16</f>
        <v>0</v>
      </c>
      <c r="S82" s="267">
        <f t="shared" si="26"/>
        <v>2.4754333333333333E-2</v>
      </c>
      <c r="T82" s="267">
        <f t="shared" si="27"/>
        <v>0</v>
      </c>
      <c r="U82" s="267">
        <f t="shared" si="14"/>
        <v>1.2377166666666667E-2</v>
      </c>
      <c r="V82" s="268" t="str">
        <f>'S. INVESTIGACIÓN'!V17</f>
        <v>NO SE HA EJECUTADO EN ESTE TRIMESTRE</v>
      </c>
      <c r="W82" s="5">
        <f>'S. PROY. SOCIAL '!W16</f>
        <v>30000000</v>
      </c>
      <c r="X82" s="5">
        <f>'S. PROY. SOCIAL '!X16</f>
        <v>742630</v>
      </c>
      <c r="Y82" s="5">
        <f>'S. PROY. SOCIAL '!Y16</f>
        <v>29257370</v>
      </c>
      <c r="Z82" s="5">
        <f>'S. PROY. SOCIAL '!Z16</f>
        <v>16</v>
      </c>
      <c r="AA82" s="311">
        <f>'S. PROY. SOCIAL '!AA16</f>
        <v>0.64</v>
      </c>
      <c r="AB82" s="5">
        <f>'S. PROY. SOCIAL '!AB16</f>
        <v>16</v>
      </c>
      <c r="AC82" s="311">
        <f>'S. PROY. SOCIAL '!AC16</f>
        <v>0.64</v>
      </c>
      <c r="AD82" s="5">
        <f>'S. PROY. SOCIAL '!AD16</f>
        <v>16</v>
      </c>
      <c r="AE82" s="311">
        <f>'S. PROY. SOCIAL '!AE16</f>
        <v>0.64</v>
      </c>
      <c r="AF82" s="5">
        <f>'S. PROY. SOCIAL '!AF16</f>
        <v>48</v>
      </c>
      <c r="AG82" s="249">
        <f t="shared" si="28"/>
        <v>2.4754333333333333E-2</v>
      </c>
      <c r="AH82" s="249">
        <f t="shared" si="29"/>
        <v>1.92</v>
      </c>
      <c r="AI82" s="249">
        <f t="shared" si="32"/>
        <v>0.97237716666666663</v>
      </c>
      <c r="AJ82" s="268" t="str">
        <f>'S. PROY. SOCIAL '!AJ16</f>
        <v>Se han realizado 48 asesorías hasta el segundo trimestre</v>
      </c>
      <c r="AK82" s="5">
        <f>'S. PROY. SOCIAL '!AK16</f>
        <v>30000000</v>
      </c>
      <c r="AL82" s="5">
        <f>'S. PROY. SOCIAL '!AL16</f>
        <v>23652597</v>
      </c>
      <c r="AM82" s="5">
        <f>'S. PROY. SOCIAL '!AM16</f>
        <v>6347403</v>
      </c>
      <c r="AN82" s="5">
        <f>'S. PROY. SOCIAL '!AN16</f>
        <v>6</v>
      </c>
      <c r="AO82" s="311">
        <f>'S. PROY. SOCIAL '!AO16</f>
        <v>0.24</v>
      </c>
      <c r="AP82" s="5">
        <f>'S. PROY. SOCIAL '!AP16</f>
        <v>5</v>
      </c>
      <c r="AQ82" s="311">
        <f>'S. PROY. SOCIAL '!AQ16</f>
        <v>0.2</v>
      </c>
      <c r="AR82" s="5">
        <f>'S. PROY. SOCIAL '!AR16</f>
        <v>5</v>
      </c>
      <c r="AS82" s="311">
        <f>'S. PROY. SOCIAL '!AS16</f>
        <v>0.2</v>
      </c>
      <c r="AT82" s="5">
        <f>'S. PROY. SOCIAL '!AT16</f>
        <v>16</v>
      </c>
      <c r="AU82" s="363">
        <f t="shared" si="30"/>
        <v>0.78841989999999995</v>
      </c>
      <c r="AV82" s="363">
        <f t="shared" si="31"/>
        <v>0.64</v>
      </c>
      <c r="AW82" s="363">
        <f t="shared" si="16"/>
        <v>0.71420994999999998</v>
      </c>
      <c r="AX82" s="354" t="str">
        <f>'S. PROY. SOCIAL '!AX16</f>
        <v>Se han realizado 16 asesorías en el tercer trimestre</v>
      </c>
    </row>
    <row r="83" spans="1:50" ht="45" customHeight="1" x14ac:dyDescent="0.25">
      <c r="A83" s="620"/>
      <c r="B83" s="542"/>
      <c r="C83" s="26" t="str">
        <f>Asignación!A78</f>
        <v>SP-PY4.3</v>
      </c>
      <c r="D83" s="26" t="str">
        <f>Asignación!B78</f>
        <v>Modernización de la Innovación y/o emprendimiento en el Plan de Estudios.</v>
      </c>
      <c r="E83" s="26">
        <f>Asignación!C78</f>
        <v>520</v>
      </c>
      <c r="F83" s="248"/>
      <c r="G83" s="36"/>
      <c r="H83" s="248"/>
      <c r="I83" s="5">
        <f>Asignación!K78</f>
        <v>0</v>
      </c>
      <c r="J83" s="5">
        <f>'S. PROY. SOCIAL '!J17</f>
        <v>0</v>
      </c>
      <c r="K83" s="5">
        <f t="shared" si="25"/>
        <v>0</v>
      </c>
      <c r="L83" s="262">
        <f>'S. PROY. SOCIAL '!L17</f>
        <v>0</v>
      </c>
      <c r="M83" s="271">
        <f>'S. PROY. SOCIAL '!M17</f>
        <v>0</v>
      </c>
      <c r="N83" s="262">
        <f>'S. PROY. SOCIAL '!N17</f>
        <v>0</v>
      </c>
      <c r="O83" s="271">
        <f>'S. PROY. SOCIAL '!O17</f>
        <v>0</v>
      </c>
      <c r="P83" s="262">
        <f>'S. PROY. SOCIAL '!P17</f>
        <v>0</v>
      </c>
      <c r="Q83" s="271">
        <f>'S. PROY. SOCIAL '!Q17</f>
        <v>0</v>
      </c>
      <c r="R83" s="262">
        <f>'S. PROY. SOCIAL '!R17</f>
        <v>0</v>
      </c>
      <c r="S83" s="267"/>
      <c r="T83" s="267"/>
      <c r="U83" s="267"/>
      <c r="V83" s="268" t="str">
        <f>'S. INVESTIGACIÓN'!V18</f>
        <v>Se apoyo al desarrollo de 3 Doctorados:
1 - Agroindustria y Desarrollo Agricola Sostenible, CONTRATO CPS-136, AVANCE 018, CONTRATO VIPS 087-A2017, CONTRATO VIPS 096-A2017, RESOLUCIÓN 021, AVANCE 071, RESOLUCIÓN No. 033, RESOLUCIÓN No. 032, RESOLUCIÓN No. 035, RESOLUCIÓN No. 036, RESOLUCIÓN No. 034, CONTRATO VIPS 125-A2017, AVANCE 080
2 - Educación y Cultura Ambiental - CONTRATO VIPS 025-A2017, AVANCE 008, RESOLUCIÓN 008, RESOLUCIÓN 007, RESOLUCIÓN 012, RESOLUCIÓN 013, AVANCE 042, CONTRATO VIPS 092-A2017, RESOLUCION No. 042, AVANCE 095, CONTRATO VIPS 170-A2017
3 - Ciencias de la Salud - RESOLUCION NO. 001 ACTIVIDAD ACADEMICA REMUNERADA, AVANCE 009, RESOLUCION NO. 003 ACTIVIDAD ACADEMICA REMUNERADA, RESOLUCION NO. 005 ACTIVIDAD ACADEMICA REMUNERADA, RESOLUCION NO. 006 - ACTIVIDAD ACADEMICA REMUNERADA, RESOLUCION NO. 009 ACTIVIDAD ACADEMICA REMUNERADA, RESOLUCION NO. 010 ACTIVIDAD ACADEMICA REMUNERADA, RESOLUCIÓN No. 011, RESOLUCION No. 015, RESOLUCION No. 016, RESOLUCION No. 017, RESOLUCIÓN No. 022, RESOLUCIÓN No. 023, RESOLUCIÓN No. 024, RESOLUCIÓN No. 025, RESOLUCIÓN No. 026, RESOLUCIÓN No. 043, RESOLUCIÓN No. 044, RESOLUCIÓN No. 046, RESOLUCIÓN No. 053, AVANCE 100, RESOLUCIÓN No. 056</v>
      </c>
      <c r="W83" s="5">
        <f>'S. PROY. SOCIAL '!W17</f>
        <v>0</v>
      </c>
      <c r="X83" s="5">
        <f>'S. PROY. SOCIAL '!X17</f>
        <v>0</v>
      </c>
      <c r="Y83" s="5">
        <f>'S. PROY. SOCIAL '!Y17</f>
        <v>0</v>
      </c>
      <c r="Z83" s="5">
        <f>'S. PROY. SOCIAL '!Z17</f>
        <v>0</v>
      </c>
      <c r="AA83" s="311">
        <f>'S. PROY. SOCIAL '!AA17</f>
        <v>0</v>
      </c>
      <c r="AB83" s="5">
        <f>'S. PROY. SOCIAL '!AB17</f>
        <v>0</v>
      </c>
      <c r="AC83" s="311">
        <f>'S. PROY. SOCIAL '!AC17</f>
        <v>0</v>
      </c>
      <c r="AD83" s="5">
        <f>'S. PROY. SOCIAL '!AD17</f>
        <v>0</v>
      </c>
      <c r="AE83" s="311">
        <f>'S. PROY. SOCIAL '!AE17</f>
        <v>0</v>
      </c>
      <c r="AF83" s="5">
        <f>'S. PROY. SOCIAL '!AF17</f>
        <v>0</v>
      </c>
      <c r="AG83" s="249"/>
      <c r="AH83" s="249"/>
      <c r="AI83" s="249"/>
      <c r="AJ83" s="268">
        <f>'S. PROY. SOCIAL '!AJ17</f>
        <v>0</v>
      </c>
      <c r="AK83" s="5">
        <f>'S. PROY. SOCIAL '!AK17</f>
        <v>0</v>
      </c>
      <c r="AL83" s="5">
        <f>'S. PROY. SOCIAL '!AL17</f>
        <v>0</v>
      </c>
      <c r="AM83" s="5">
        <f>'S. PROY. SOCIAL '!AM17</f>
        <v>0</v>
      </c>
      <c r="AN83" s="5">
        <f>'S. PROY. SOCIAL '!AN17</f>
        <v>0</v>
      </c>
      <c r="AO83" s="311">
        <f>'S. PROY. SOCIAL '!AO17</f>
        <v>0</v>
      </c>
      <c r="AP83" s="5">
        <f>'S. PROY. SOCIAL '!AP17</f>
        <v>0</v>
      </c>
      <c r="AQ83" s="311">
        <f>'S. PROY. SOCIAL '!AQ17</f>
        <v>0</v>
      </c>
      <c r="AR83" s="5">
        <f>'S. PROY. SOCIAL '!AR17</f>
        <v>0</v>
      </c>
      <c r="AS83" s="311">
        <f>'S. PROY. SOCIAL '!AS17</f>
        <v>0</v>
      </c>
      <c r="AT83" s="5">
        <f>'S. PROY. SOCIAL '!AT17</f>
        <v>0</v>
      </c>
      <c r="AU83" s="363"/>
      <c r="AV83" s="363"/>
      <c r="AW83" s="363"/>
      <c r="AX83" s="354">
        <f>'S. PROY. SOCIAL '!AX17</f>
        <v>0</v>
      </c>
    </row>
    <row r="84" spans="1:50" ht="45" customHeight="1" x14ac:dyDescent="0.25">
      <c r="A84" s="620"/>
      <c r="B84" s="542"/>
      <c r="C84" s="26" t="str">
        <f>Asignación!A79</f>
        <v>SP-PY4.4</v>
      </c>
      <c r="D84" s="258" t="str">
        <f>Asignación!B79</f>
        <v>Dotación, compra de material P.O.P, Didactico y Bibliografico de la Unidad de Emprendimiento.</v>
      </c>
      <c r="E84" s="26">
        <f>Asignación!C79</f>
        <v>520</v>
      </c>
      <c r="F84" s="248"/>
      <c r="G84" s="36"/>
      <c r="H84" s="248"/>
      <c r="I84" s="5">
        <f>Asignación!K79</f>
        <v>0</v>
      </c>
      <c r="J84" s="5">
        <f>'S. PROY. SOCIAL '!J18</f>
        <v>0</v>
      </c>
      <c r="K84" s="5">
        <f t="shared" si="25"/>
        <v>0</v>
      </c>
      <c r="L84" s="262">
        <f>'S. PROY. SOCIAL '!L18</f>
        <v>0</v>
      </c>
      <c r="M84" s="271">
        <f>'S. PROY. SOCIAL '!M18</f>
        <v>0</v>
      </c>
      <c r="N84" s="262">
        <f>'S. PROY. SOCIAL '!N18</f>
        <v>0</v>
      </c>
      <c r="O84" s="271">
        <f>'S. PROY. SOCIAL '!O18</f>
        <v>0</v>
      </c>
      <c r="P84" s="262">
        <f>'S. PROY. SOCIAL '!P18</f>
        <v>0</v>
      </c>
      <c r="Q84" s="271">
        <f>'S. PROY. SOCIAL '!Q18</f>
        <v>0</v>
      </c>
      <c r="R84" s="262">
        <f>'S. PROY. SOCIAL '!R18</f>
        <v>0</v>
      </c>
      <c r="S84" s="267"/>
      <c r="T84" s="267"/>
      <c r="U84" s="267"/>
      <c r="V84" s="268" t="str">
        <f>'S. INVESTIGACIÓN'!V19</f>
        <v>Se apoyó a la Financiación de 01 proyecto de investigación en modalidad trabajos de grado:
1 -  CAPACIDAD DE AUTOCUIDADO DE LAS PERSONAS CON INSUFICIENCIA RENAL CRÓNICA EN TERAPIA DE REMPLAZO RENAL, FLORENCIA 2017, AVANCE No. 049, CONTRATO VIPS 129-A2017, AVANCE 079</v>
      </c>
      <c r="W84" s="5">
        <f>'S. PROY. SOCIAL '!W18</f>
        <v>0</v>
      </c>
      <c r="X84" s="5">
        <f>'S. PROY. SOCIAL '!X18</f>
        <v>0</v>
      </c>
      <c r="Y84" s="5">
        <f>'S. PROY. SOCIAL '!Y18</f>
        <v>0</v>
      </c>
      <c r="Z84" s="5">
        <f>'S. PROY. SOCIAL '!Z18</f>
        <v>0</v>
      </c>
      <c r="AA84" s="311">
        <f>'S. PROY. SOCIAL '!AA18</f>
        <v>0</v>
      </c>
      <c r="AB84" s="5">
        <f>'S. PROY. SOCIAL '!AB18</f>
        <v>0</v>
      </c>
      <c r="AC84" s="311">
        <f>'S. PROY. SOCIAL '!AC18</f>
        <v>0</v>
      </c>
      <c r="AD84" s="5">
        <f>'S. PROY. SOCIAL '!AD18</f>
        <v>0</v>
      </c>
      <c r="AE84" s="311">
        <f>'S. PROY. SOCIAL '!AE18</f>
        <v>0</v>
      </c>
      <c r="AF84" s="5">
        <f>'S. PROY. SOCIAL '!AF18</f>
        <v>0</v>
      </c>
      <c r="AG84" s="249"/>
      <c r="AH84" s="249"/>
      <c r="AI84" s="249"/>
      <c r="AJ84" s="268">
        <f>'S. PROY. SOCIAL '!AJ18</f>
        <v>0</v>
      </c>
      <c r="AK84" s="5">
        <f>'S. PROY. SOCIAL '!AK18</f>
        <v>0</v>
      </c>
      <c r="AL84" s="5">
        <f>'S. PROY. SOCIAL '!AL18</f>
        <v>0</v>
      </c>
      <c r="AM84" s="5">
        <f>'S. PROY. SOCIAL '!AM18</f>
        <v>0</v>
      </c>
      <c r="AN84" s="5">
        <f>'S. PROY. SOCIAL '!AN18</f>
        <v>0</v>
      </c>
      <c r="AO84" s="311">
        <f>'S. PROY. SOCIAL '!AO18</f>
        <v>0</v>
      </c>
      <c r="AP84" s="5">
        <f>'S. PROY. SOCIAL '!AP18</f>
        <v>0</v>
      </c>
      <c r="AQ84" s="311">
        <f>'S. PROY. SOCIAL '!AQ18</f>
        <v>0</v>
      </c>
      <c r="AR84" s="5">
        <f>'S. PROY. SOCIAL '!AR18</f>
        <v>0</v>
      </c>
      <c r="AS84" s="311">
        <f>'S. PROY. SOCIAL '!AS18</f>
        <v>0</v>
      </c>
      <c r="AT84" s="5">
        <f>'S. PROY. SOCIAL '!AT18</f>
        <v>0</v>
      </c>
      <c r="AU84" s="363"/>
      <c r="AV84" s="363"/>
      <c r="AW84" s="363"/>
      <c r="AX84" s="354">
        <f>'S. PROY. SOCIAL '!AX18</f>
        <v>0</v>
      </c>
    </row>
    <row r="85" spans="1:50" ht="45" customHeight="1" x14ac:dyDescent="0.25">
      <c r="A85" s="620"/>
      <c r="B85" s="542"/>
      <c r="C85" s="26" t="str">
        <f>Asignación!A80</f>
        <v>SP-PY4.5</v>
      </c>
      <c r="D85" s="258" t="str">
        <f>Asignación!B80</f>
        <v>Apoyo en la gestión de proyectos de emprendimiento e innovación.</v>
      </c>
      <c r="E85" s="26">
        <f>Asignación!C80</f>
        <v>520</v>
      </c>
      <c r="F85" s="248"/>
      <c r="G85" s="36"/>
      <c r="H85" s="248"/>
      <c r="I85" s="5">
        <f>Asignación!K80</f>
        <v>0</v>
      </c>
      <c r="J85" s="5">
        <f>'S. PROY. SOCIAL '!J19</f>
        <v>0</v>
      </c>
      <c r="K85" s="5">
        <f t="shared" si="25"/>
        <v>0</v>
      </c>
      <c r="L85" s="262">
        <f>'S. PROY. SOCIAL '!L19</f>
        <v>0</v>
      </c>
      <c r="M85" s="271">
        <f>'S. PROY. SOCIAL '!M19</f>
        <v>0</v>
      </c>
      <c r="N85" s="262">
        <f>'S. PROY. SOCIAL '!N19</f>
        <v>0</v>
      </c>
      <c r="O85" s="271">
        <f>'S. PROY. SOCIAL '!O19</f>
        <v>0</v>
      </c>
      <c r="P85" s="262">
        <f>'S. PROY. SOCIAL '!P19</f>
        <v>0</v>
      </c>
      <c r="Q85" s="271">
        <f>'S. PROY. SOCIAL '!Q19</f>
        <v>0</v>
      </c>
      <c r="R85" s="262">
        <f>'S. PROY. SOCIAL '!R19</f>
        <v>0</v>
      </c>
      <c r="S85" s="267"/>
      <c r="T85" s="267"/>
      <c r="U85" s="267"/>
      <c r="V85" s="268" t="str">
        <f>'S. INVESTIGACIÓN'!V20</f>
        <v>NO SE HA EJECUTADO EN ESTE TRIMESTRE</v>
      </c>
      <c r="W85" s="5">
        <f>'S. PROY. SOCIAL '!W19</f>
        <v>0</v>
      </c>
      <c r="X85" s="5">
        <f>'S. PROY. SOCIAL '!X19</f>
        <v>0</v>
      </c>
      <c r="Y85" s="5">
        <f>'S. PROY. SOCIAL '!Y19</f>
        <v>0</v>
      </c>
      <c r="Z85" s="5">
        <f>'S. PROY. SOCIAL '!Z19</f>
        <v>0</v>
      </c>
      <c r="AA85" s="311">
        <f>'S. PROY. SOCIAL '!AA19</f>
        <v>0</v>
      </c>
      <c r="AB85" s="5">
        <f>'S. PROY. SOCIAL '!AB19</f>
        <v>0</v>
      </c>
      <c r="AC85" s="311">
        <f>'S. PROY. SOCIAL '!AC19</f>
        <v>0</v>
      </c>
      <c r="AD85" s="5">
        <f>'S. PROY. SOCIAL '!AD19</f>
        <v>0</v>
      </c>
      <c r="AE85" s="311">
        <f>'S. PROY. SOCIAL '!AE19</f>
        <v>0</v>
      </c>
      <c r="AF85" s="5">
        <f>'S. PROY. SOCIAL '!AF19</f>
        <v>0</v>
      </c>
      <c r="AG85" s="249"/>
      <c r="AH85" s="249"/>
      <c r="AI85" s="249"/>
      <c r="AJ85" s="268">
        <f>'S. PROY. SOCIAL '!AJ19</f>
        <v>0</v>
      </c>
      <c r="AK85" s="5">
        <f>'S. PROY. SOCIAL '!AK19</f>
        <v>0</v>
      </c>
      <c r="AL85" s="5">
        <f>'S. PROY. SOCIAL '!AL19</f>
        <v>0</v>
      </c>
      <c r="AM85" s="5">
        <f>'S. PROY. SOCIAL '!AM19</f>
        <v>0</v>
      </c>
      <c r="AN85" s="5">
        <f>'S. PROY. SOCIAL '!AN19</f>
        <v>0</v>
      </c>
      <c r="AO85" s="311">
        <f>'S. PROY. SOCIAL '!AO19</f>
        <v>0</v>
      </c>
      <c r="AP85" s="5">
        <f>'S. PROY. SOCIAL '!AP19</f>
        <v>0</v>
      </c>
      <c r="AQ85" s="311">
        <f>'S. PROY. SOCIAL '!AQ19</f>
        <v>0</v>
      </c>
      <c r="AR85" s="5">
        <f>'S. PROY. SOCIAL '!AR19</f>
        <v>0</v>
      </c>
      <c r="AS85" s="311">
        <f>'S. PROY. SOCIAL '!AS19</f>
        <v>0</v>
      </c>
      <c r="AT85" s="5">
        <f>'S. PROY. SOCIAL '!AT19</f>
        <v>0</v>
      </c>
      <c r="AU85" s="363"/>
      <c r="AV85" s="363"/>
      <c r="AW85" s="363"/>
      <c r="AX85" s="354">
        <f>'S. PROY. SOCIAL '!AX19</f>
        <v>0</v>
      </c>
    </row>
    <row r="86" spans="1:50" ht="45" customHeight="1" x14ac:dyDescent="0.25">
      <c r="A86" s="620"/>
      <c r="B86" s="542"/>
      <c r="C86" s="26" t="str">
        <f>Asignación!A81</f>
        <v>SP-PY4.6</v>
      </c>
      <c r="D86" s="258" t="str">
        <f>Asignación!B81</f>
        <v xml:space="preserve">Selección y formalización del equipo de trabajo.  </v>
      </c>
      <c r="E86" s="26">
        <f>Asignación!C81</f>
        <v>520</v>
      </c>
      <c r="F86" s="248"/>
      <c r="G86" s="36"/>
      <c r="H86" s="248"/>
      <c r="I86" s="5">
        <f>Asignación!K81</f>
        <v>0</v>
      </c>
      <c r="J86" s="5">
        <f>'S. PROY. SOCIAL '!J20</f>
        <v>0</v>
      </c>
      <c r="K86" s="5">
        <f t="shared" si="25"/>
        <v>0</v>
      </c>
      <c r="L86" s="262">
        <f>'S. PROY. SOCIAL '!L20</f>
        <v>0</v>
      </c>
      <c r="M86" s="271">
        <f>'S. PROY. SOCIAL '!M20</f>
        <v>0</v>
      </c>
      <c r="N86" s="262">
        <f>'S. PROY. SOCIAL '!N20</f>
        <v>0</v>
      </c>
      <c r="O86" s="271">
        <f>'S. PROY. SOCIAL '!O20</f>
        <v>0</v>
      </c>
      <c r="P86" s="262">
        <f>'S. PROY. SOCIAL '!P20</f>
        <v>0</v>
      </c>
      <c r="Q86" s="271">
        <f>'S. PROY. SOCIAL '!Q20</f>
        <v>0</v>
      </c>
      <c r="R86" s="262">
        <f>'S. PROY. SOCIAL '!R20</f>
        <v>0</v>
      </c>
      <c r="S86" s="267"/>
      <c r="T86" s="267"/>
      <c r="U86" s="267"/>
      <c r="V86" s="268" t="str">
        <f>'S. INVESTIGACIÓN'!V21</f>
        <v>Se apoyó con la Financiación la vinculación de 12 jóvenes investigadores:
1 - CRISTIAN  FABIAN VILLANUEVA, CONTRATO VIPS 007-A2017
2- MARIA ALEJANDRA BERMEO LOSADA, CONTRATO VIPS 008-A2017
3 - LEIDY MARCELA CASTAÑO BAQUERO, CONTRATO VIPS 018-A2017
4 - LUISA FERNANDA MUÑOZ, CONTRATO VIPS 021-A2017
5 - DIANA MARCELA CELIS, CONTRATO VIPS 022-A2017
6 - ERIKA TATIANA CORTES MACIAS, CONTRATO VIPS 032-A2017
7 - MAYRA PATRICIA RODRÍGUEZ ESPINOSA, CONTRATO VIPS 071-A2017
8 - KARLA ALEXANDRA LOSADA BENAVIDES, CONTRATO VIPS 070-A2017
9 - JONATHAN ANDRÉS MOSQUERA, CONTRATO VIPS 035-A2017
10 - KAREN LORENA REYES VÉLEZ, VIPS 072-A2017
11 - ANGIELA CRISTINA ROMERO VARÓN, CONTRATO VIPS 066-A2017
12 - JUANITA PAOLA GUTIÉRREZ CUENCA, CONTRATO VIPS 068-A2017</v>
      </c>
      <c r="W86" s="5">
        <f>'S. PROY. SOCIAL '!W20</f>
        <v>0</v>
      </c>
      <c r="X86" s="5">
        <f>'S. PROY. SOCIAL '!X20</f>
        <v>0</v>
      </c>
      <c r="Y86" s="5">
        <f>'S. PROY. SOCIAL '!Y20</f>
        <v>0</v>
      </c>
      <c r="Z86" s="5">
        <f>'S. PROY. SOCIAL '!Z20</f>
        <v>0</v>
      </c>
      <c r="AA86" s="311">
        <f>'S. PROY. SOCIAL '!AA20</f>
        <v>0</v>
      </c>
      <c r="AB86" s="5">
        <f>'S. PROY. SOCIAL '!AB20</f>
        <v>0</v>
      </c>
      <c r="AC86" s="311">
        <f>'S. PROY. SOCIAL '!AC20</f>
        <v>0</v>
      </c>
      <c r="AD86" s="5">
        <f>'S. PROY. SOCIAL '!AD20</f>
        <v>0</v>
      </c>
      <c r="AE86" s="311">
        <f>'S. PROY. SOCIAL '!AE20</f>
        <v>0</v>
      </c>
      <c r="AF86" s="5">
        <f>'S. PROY. SOCIAL '!AF20</f>
        <v>0</v>
      </c>
      <c r="AG86" s="249"/>
      <c r="AH86" s="249"/>
      <c r="AI86" s="249"/>
      <c r="AJ86" s="268">
        <f>'S. PROY. SOCIAL '!AJ20</f>
        <v>0</v>
      </c>
      <c r="AK86" s="5">
        <f>'S. PROY. SOCIAL '!AK20</f>
        <v>0</v>
      </c>
      <c r="AL86" s="5">
        <f>'S. PROY. SOCIAL '!AL20</f>
        <v>0</v>
      </c>
      <c r="AM86" s="5">
        <f>'S. PROY. SOCIAL '!AM20</f>
        <v>0</v>
      </c>
      <c r="AN86" s="5">
        <f>'S. PROY. SOCIAL '!AN20</f>
        <v>0</v>
      </c>
      <c r="AO86" s="311">
        <f>'S. PROY. SOCIAL '!AO20</f>
        <v>0</v>
      </c>
      <c r="AP86" s="5">
        <f>'S. PROY. SOCIAL '!AP20</f>
        <v>0</v>
      </c>
      <c r="AQ86" s="311">
        <f>'S. PROY. SOCIAL '!AQ20</f>
        <v>0</v>
      </c>
      <c r="AR86" s="5">
        <f>'S. PROY. SOCIAL '!AR20</f>
        <v>0</v>
      </c>
      <c r="AS86" s="311">
        <f>'S. PROY. SOCIAL '!AS20</f>
        <v>0</v>
      </c>
      <c r="AT86" s="5">
        <f>'S. PROY. SOCIAL '!AT20</f>
        <v>0</v>
      </c>
      <c r="AU86" s="363"/>
      <c r="AV86" s="363"/>
      <c r="AW86" s="363"/>
      <c r="AX86" s="354">
        <f>'S. PROY. SOCIAL '!AX20</f>
        <v>0</v>
      </c>
    </row>
    <row r="87" spans="1:50" ht="45" customHeight="1" x14ac:dyDescent="0.25">
      <c r="A87" s="620"/>
      <c r="B87" s="543"/>
      <c r="C87" s="26" t="str">
        <f>Asignación!A82</f>
        <v>SP-PY4.7</v>
      </c>
      <c r="D87" s="258" t="str">
        <f>Asignación!B82</f>
        <v>Movilidad Visitas Institucionales, Nacionales e Internacionales.</v>
      </c>
      <c r="E87" s="26">
        <f>Asignación!C82</f>
        <v>520</v>
      </c>
      <c r="F87" s="248"/>
      <c r="G87" s="36"/>
      <c r="H87" s="248"/>
      <c r="I87" s="5">
        <f>Asignación!K82</f>
        <v>0</v>
      </c>
      <c r="J87" s="5">
        <f>'S. PROY. SOCIAL '!J21</f>
        <v>0</v>
      </c>
      <c r="K87" s="5">
        <f t="shared" si="25"/>
        <v>0</v>
      </c>
      <c r="L87" s="262">
        <f>'S. PROY. SOCIAL '!L21</f>
        <v>0</v>
      </c>
      <c r="M87" s="271">
        <f>'S. PROY. SOCIAL '!M21</f>
        <v>0</v>
      </c>
      <c r="N87" s="262">
        <f>'S. PROY. SOCIAL '!N21</f>
        <v>0</v>
      </c>
      <c r="O87" s="271">
        <f>'S. PROY. SOCIAL '!O21</f>
        <v>0</v>
      </c>
      <c r="P87" s="262">
        <f>'S. PROY. SOCIAL '!P21</f>
        <v>0</v>
      </c>
      <c r="Q87" s="271">
        <f>'S. PROY. SOCIAL '!Q21</f>
        <v>0</v>
      </c>
      <c r="R87" s="262">
        <f>'S. PROY. SOCIAL '!R21</f>
        <v>0</v>
      </c>
      <c r="S87" s="267"/>
      <c r="T87" s="267"/>
      <c r="U87" s="267"/>
      <c r="V87" s="268" t="str">
        <f>'S. INVESTIGACIÓN'!V22</f>
        <v>Se apoyó a la capacitación y desarrollo de 3 talleres para la formulación de la investigación:
1 - Taller: La Carpintería de la Escritura para la Investigación Nivel I (GRUPO 1): RESOLUCIÓN 029, RESOLUCIÓN 030
2 - Taller: La Carpintería de la Escritura para la Investigación Nivel II (GRUPO 1): AVANCE No. 053, GIOVANNI USGAME ZUBIETA - RESOLUCION No. 019
3 - Taller básico de ortografía para la enseñanza (GRUPO 1): RESOLUCIÓN 028</v>
      </c>
      <c r="W87" s="5">
        <f>'S. PROY. SOCIAL '!W21</f>
        <v>0</v>
      </c>
      <c r="X87" s="5">
        <f>'S. PROY. SOCIAL '!X21</f>
        <v>0</v>
      </c>
      <c r="Y87" s="5">
        <f>'S. PROY. SOCIAL '!Y21</f>
        <v>0</v>
      </c>
      <c r="Z87" s="5">
        <f>'S. PROY. SOCIAL '!Z21</f>
        <v>0</v>
      </c>
      <c r="AA87" s="311">
        <f>'S. PROY. SOCIAL '!AA21</f>
        <v>0</v>
      </c>
      <c r="AB87" s="5">
        <f>'S. PROY. SOCIAL '!AB21</f>
        <v>0</v>
      </c>
      <c r="AC87" s="311">
        <f>'S. PROY. SOCIAL '!AC21</f>
        <v>0</v>
      </c>
      <c r="AD87" s="5">
        <f>'S. PROY. SOCIAL '!AD21</f>
        <v>0</v>
      </c>
      <c r="AE87" s="311">
        <f>'S. PROY. SOCIAL '!AE21</f>
        <v>0</v>
      </c>
      <c r="AF87" s="5">
        <f>'S. PROY. SOCIAL '!AF21</f>
        <v>0</v>
      </c>
      <c r="AG87" s="249"/>
      <c r="AH87" s="249"/>
      <c r="AI87" s="249"/>
      <c r="AJ87" s="268">
        <f>'S. PROY. SOCIAL '!AJ21</f>
        <v>0</v>
      </c>
      <c r="AK87" s="5">
        <f>'S. PROY. SOCIAL '!AK21</f>
        <v>0</v>
      </c>
      <c r="AL87" s="5">
        <f>'S. PROY. SOCIAL '!AL21</f>
        <v>0</v>
      </c>
      <c r="AM87" s="5">
        <f>'S. PROY. SOCIAL '!AM21</f>
        <v>0</v>
      </c>
      <c r="AN87" s="5">
        <f>'S. PROY. SOCIAL '!AN21</f>
        <v>0</v>
      </c>
      <c r="AO87" s="311">
        <f>'S. PROY. SOCIAL '!AO21</f>
        <v>0</v>
      </c>
      <c r="AP87" s="5">
        <f>'S. PROY. SOCIAL '!AP21</f>
        <v>0</v>
      </c>
      <c r="AQ87" s="311">
        <f>'S. PROY. SOCIAL '!AQ21</f>
        <v>0</v>
      </c>
      <c r="AR87" s="5">
        <f>'S. PROY. SOCIAL '!AR21</f>
        <v>0</v>
      </c>
      <c r="AS87" s="311">
        <f>'S. PROY. SOCIAL '!AS21</f>
        <v>0</v>
      </c>
      <c r="AT87" s="5">
        <f>'S. PROY. SOCIAL '!AT21</f>
        <v>0</v>
      </c>
      <c r="AU87" s="363"/>
      <c r="AV87" s="363"/>
      <c r="AW87" s="363"/>
      <c r="AX87" s="354">
        <f>'S. PROY. SOCIAL '!AX21</f>
        <v>0</v>
      </c>
    </row>
    <row r="88" spans="1:50" ht="68.25" customHeight="1" x14ac:dyDescent="0.25">
      <c r="A88" s="620"/>
      <c r="B88" s="541" t="s">
        <v>247</v>
      </c>
      <c r="C88" s="26" t="str">
        <f>Asignación!A83</f>
        <v>SP-PY5.1</v>
      </c>
      <c r="D88" s="258" t="str">
        <f>Asignación!B83</f>
        <v>Proyectos Universidad-Empresa-Estado-Sociedad, financiados y cofinanciados por la Universidad Surcolombiana.</v>
      </c>
      <c r="E88" s="26">
        <f>Asignación!C83</f>
        <v>520</v>
      </c>
      <c r="F88" s="248" t="s">
        <v>89</v>
      </c>
      <c r="G88" s="331">
        <f>'S. PROY. SOCIAL '!G22</f>
        <v>1</v>
      </c>
      <c r="H88" s="210" t="str">
        <f>'S. PROY. SOCIAL '!H22</f>
        <v>ALIANZAS</v>
      </c>
      <c r="I88" s="5">
        <f>Asignación!K83</f>
        <v>10000000</v>
      </c>
      <c r="J88" s="5">
        <f>'S. PROY. SOCIAL '!J22</f>
        <v>0</v>
      </c>
      <c r="K88" s="5">
        <f t="shared" si="25"/>
        <v>10000000</v>
      </c>
      <c r="L88" s="262">
        <f>'S. PROY. SOCIAL '!L22</f>
        <v>0</v>
      </c>
      <c r="M88" s="271">
        <f>'S. PROY. SOCIAL '!M22</f>
        <v>0</v>
      </c>
      <c r="N88" s="262">
        <f>'S. PROY. SOCIAL '!N22</f>
        <v>0</v>
      </c>
      <c r="O88" s="271">
        <f>'S. PROY. SOCIAL '!O22</f>
        <v>0</v>
      </c>
      <c r="P88" s="262">
        <f>'S. PROY. SOCIAL '!P22</f>
        <v>0</v>
      </c>
      <c r="Q88" s="271">
        <f>'S. PROY. SOCIAL '!Q22</f>
        <v>0</v>
      </c>
      <c r="R88" s="262">
        <f>'S. PROY. SOCIAL '!R22</f>
        <v>0</v>
      </c>
      <c r="S88" s="267">
        <f t="shared" si="26"/>
        <v>0</v>
      </c>
      <c r="T88" s="267">
        <f t="shared" si="27"/>
        <v>0</v>
      </c>
      <c r="U88" s="267">
        <f t="shared" si="14"/>
        <v>0</v>
      </c>
      <c r="V88" s="268" t="str">
        <f>'S. INVESTIGACIÓN'!V23</f>
        <v>Para el primer trimestre se apoyó para le ejecución de 8 proyectos relacionados así (MEDIANTE ACTA No. 2 DE ENERO 26 DE 2017) - SI-PY1.5 Y SI-PY4.1 SON ACCIONES QUE VAN UNIDAS:
1 - CONSTRUCCIÓN DE PRÁCTICAS PEDAGÓGICAS ALTERNATIVAS PARA LA FORMACIÓN DE MAESTROS PARA LA PAZ, LA EQUIDAD Y LA RECONCILIACIÓN: CONTRATO VIPS 052-A2017 
2 - LOS SISTEMAS DINÁMICOS DEL CAMBIO CLIMÁTICO Y LAS AFECTACIONES SOBRE LOS SISTEMAS ECOLÓGICOS LOCALES: CONTRATO VIPS 058-A2017, AVANCE 162
3 - CONOCIMIENTOS Y PRÁCTICAS QUE REALIZAN LOS PACIENTES DIABÉTICOS PARA LA PREVENCIÓN DEL PIE DIABÉTICO EN LA EMPRESA SOCIAL DEL ESTADO (ESE) CARMEN EMILIA OSPINA: CONTRATO VIPS 298-B2017, AVANCE 020, AVANCE 079
4 - ACTITUD, CONOCIMIENTO Y USO DE LAS TECNOLOGÍAS DE LA INFORMACIÓN Y LA COMUNICACIÓN (TIC) PARA LA ENSEÑANZA DE LAS CIENCIAS NATURALES EN LAS INSTITUCIONES EDUCATIVAS PÚBLICAS DEL MUNICIPIO DE NEIVA. UN ESTUDIO DIAGNÓSTICO: CONTRATO VIPS 128-A2017, AVANCE 048, CONTRATO VIPS 171-A2017, AVANCE 118
5 - COMPETENCIAS GERENCIALES DE LOS LÍDERES ORGANIZACIONALES DEL SECTOR PRODUCTIVO DE LAS PASIFLORAS EN EL DEPARTAMENTO DEL HUILA: AVANCE 026, VIPS 293-B2017
6 - LA CONCILIACIÓN PROCESAL OBLIGATORIA COMO MECANISMO DE DESCONGESTIÓN JUDICIAL EN LA JURISDICCIÓN CONTENCIOSA ADMINISTRATIVA DE ANTIOQUIA, BOLÍVAR, CUNDINAMARCA Y VALLE DEL CAUCA: CONTRATO VIPS 069-A2017, CONTRATO VIPS 287-B2017
7 - IDENTIFICACIÓN DE ESPECIES ICTICAS EN EL ÁREA DE INFLUENCIA DE LA HIDROELÉCTRICA DEL QUIMBO: CONTRATO VIPS 083-A2017, AVANCE 083, CONTRATO VIPS 213-A2017, AVANCE 202, CONTRATO VIPS 213-A2017
8 - CARACTERIZACIÓN DE LAS ACCIONES CONSTITUCIONALES DERIVADAS DE LA CONSTRUCCIÓN DE LA HIDROELÉCTRICA “EL QUIMBO”: AVANCE 014, CONTRATO VIPS 082-A2017, AVANCE 029, AVANCE 129</v>
      </c>
      <c r="W88" s="5">
        <f>'S. PROY. SOCIAL '!W22</f>
        <v>10000000</v>
      </c>
      <c r="X88" s="5">
        <f>'S. PROY. SOCIAL '!X22</f>
        <v>9930546</v>
      </c>
      <c r="Y88" s="5">
        <f>'S. PROY. SOCIAL '!Y22</f>
        <v>69454</v>
      </c>
      <c r="Z88" s="5">
        <f>'S. PROY. SOCIAL '!Z22</f>
        <v>2</v>
      </c>
      <c r="AA88" s="311">
        <f>'S. PROY. SOCIAL '!AA22</f>
        <v>2</v>
      </c>
      <c r="AB88" s="5">
        <f>'S. PROY. SOCIAL '!AB22</f>
        <v>0</v>
      </c>
      <c r="AC88" s="311">
        <f>'S. PROY. SOCIAL '!AC22</f>
        <v>0</v>
      </c>
      <c r="AD88" s="5">
        <f>'S. PROY. SOCIAL '!AD22</f>
        <v>2</v>
      </c>
      <c r="AE88" s="311">
        <f>'S. PROY. SOCIAL '!AE22</f>
        <v>2</v>
      </c>
      <c r="AF88" s="5">
        <f>'S. PROY. SOCIAL '!AF22</f>
        <v>4</v>
      </c>
      <c r="AG88" s="249">
        <f t="shared" si="28"/>
        <v>0.99305460000000001</v>
      </c>
      <c r="AH88" s="249">
        <f t="shared" si="29"/>
        <v>4</v>
      </c>
      <c r="AI88" s="249">
        <f t="shared" si="32"/>
        <v>2.4965272999999999</v>
      </c>
      <c r="AJ88" s="268" t="str">
        <f>'S. PROY. SOCIAL '!AJ22</f>
        <v xml:space="preserve">  Jhon Alexander Vallejo.  Se contrata para prestar servicios especializados de asesoría y gestión administrativo en la formulación  de proyectos de tipo Civil, infraestructura Agrícola, agroalimentos, montaje o explotación de bienes muebles o inmuebles que por su naturaleza y características queden comprendidos en la técnica propia de la producción agroindustrial y  gestionados en el marco de la Alianza universidad Empresa Estado Sociedad.
- Se contratan los servicios de Muñoz Abogados SAS para que presten el servicio de trámite y pago del examen de patentabilidad y reivindicaciones adicionales de la solicitud de la patente: “Proceso Para El Tratamiento De Vinaza”, ante la Superintendentica de Industria y Comercio, en el marco de la relación Universidad-Empresa-Estado-Sociedad.
- Se tramita la expediciòn de los certificados de libertad y tradición actualizados a la fecha, de los inmuebles correspondientes a la sede central (Neiva), sede la Plata, sede postgrados, y sede Altico (carrera 10 No. 3-64), sede Garzón y sede Pitalito, por valor de $15.800 cada uno (6), necesarios para demostrar la situación jurídica de los predios y el soporte de propiedad para todos los proyectos que se están presentando y ejecutando ante el Sistema General de Regalías, el CODECTY (consejo departamental de ciencia tecnológica) OCAD (Órgano colegiado de Administración y decisión), la Gobernación del Huila y el SIDECTI Huila.
También el pago a la cámara de comercio de Neiva, por certificado, de registro Único de proponentes (RUP) de la universidad Surcolombiana del año 2017. 
4 alianzas estratégicas que se vienen desarrollando hasta ahora: minero energética, EPN, CAM, Club Rotario (RSU)</v>
      </c>
      <c r="AK88" s="5">
        <f>'S. PROY. SOCIAL '!AK22</f>
        <v>10000000</v>
      </c>
      <c r="AL88" s="5">
        <f>'S. PROY. SOCIAL '!AL22</f>
        <v>9930546</v>
      </c>
      <c r="AM88" s="5">
        <f>'S. PROY. SOCIAL '!AM22</f>
        <v>69454</v>
      </c>
      <c r="AN88" s="5">
        <f>'S. PROY. SOCIAL '!AN22</f>
        <v>0</v>
      </c>
      <c r="AO88" s="311">
        <f>'S. PROY. SOCIAL '!AO22</f>
        <v>0</v>
      </c>
      <c r="AP88" s="5">
        <f>'S. PROY. SOCIAL '!AP22</f>
        <v>0</v>
      </c>
      <c r="AQ88" s="311">
        <f>'S. PROY. SOCIAL '!AQ22</f>
        <v>0</v>
      </c>
      <c r="AR88" s="5">
        <f>'S. PROY. SOCIAL '!AR22</f>
        <v>0</v>
      </c>
      <c r="AS88" s="311">
        <f>'S. PROY. SOCIAL '!AS22</f>
        <v>0</v>
      </c>
      <c r="AT88" s="5">
        <f>'S. PROY. SOCIAL '!AT22</f>
        <v>0</v>
      </c>
      <c r="AU88" s="363">
        <f t="shared" ref="AU88:AU89" si="33">IFERROR((AL88/AK88),0)</f>
        <v>0.99305460000000001</v>
      </c>
      <c r="AV88" s="363">
        <f t="shared" ref="AV88:AV89" si="34">IFERROR((AO88+AQ88+AS88),0)</f>
        <v>0</v>
      </c>
      <c r="AW88" s="363">
        <f t="shared" ref="AW88:AW89" si="35">(AU88+AV88)/2</f>
        <v>0.4965273</v>
      </c>
      <c r="AX88" s="354" t="str">
        <f>'S. PROY. SOCIAL '!AX22</f>
        <v>Se continúa con las 4 alianzas estratégicas que se vienen desarrollando hasta ahora: minero energética, EPN, CAM, Club Rotario (RSU)</v>
      </c>
    </row>
    <row r="89" spans="1:50" ht="30.75" customHeight="1" x14ac:dyDescent="0.25">
      <c r="A89" s="620"/>
      <c r="B89" s="542"/>
      <c r="C89" s="26" t="str">
        <f>Asignación!A84</f>
        <v>SP-PY5.2</v>
      </c>
      <c r="D89" s="258" t="str">
        <f>Asignación!B84</f>
        <v>Apoyo a la cofinanciación de proyectos de la Alianza Universidad-Empresa-Estado-Sociedad.</v>
      </c>
      <c r="E89" s="26">
        <f>Asignación!C84</f>
        <v>520</v>
      </c>
      <c r="F89" s="248" t="s">
        <v>89</v>
      </c>
      <c r="G89" s="331">
        <f>'S. PROY. SOCIAL '!G23</f>
        <v>1</v>
      </c>
      <c r="H89" s="210" t="str">
        <f>'S. PROY. SOCIAL '!H23</f>
        <v>PROYECTOS ALIANZAS</v>
      </c>
      <c r="I89" s="5">
        <f>Asignación!K84</f>
        <v>10000000</v>
      </c>
      <c r="J89" s="5">
        <f>'S. PROY. SOCIAL '!J23</f>
        <v>0</v>
      </c>
      <c r="K89" s="5">
        <f t="shared" si="25"/>
        <v>10000000</v>
      </c>
      <c r="L89" s="262">
        <f>'S. PROY. SOCIAL '!L23</f>
        <v>0</v>
      </c>
      <c r="M89" s="271">
        <f>'S. PROY. SOCIAL '!M23</f>
        <v>0</v>
      </c>
      <c r="N89" s="262">
        <f>'S. PROY. SOCIAL '!N23</f>
        <v>0</v>
      </c>
      <c r="O89" s="271">
        <f>'S. PROY. SOCIAL '!O23</f>
        <v>0</v>
      </c>
      <c r="P89" s="262">
        <f>'S. PROY. SOCIAL '!P23</f>
        <v>0</v>
      </c>
      <c r="Q89" s="271">
        <f>'S. PROY. SOCIAL '!Q23</f>
        <v>0</v>
      </c>
      <c r="R89" s="262">
        <f>'S. PROY. SOCIAL '!R23</f>
        <v>0</v>
      </c>
      <c r="S89" s="267">
        <f t="shared" si="26"/>
        <v>0</v>
      </c>
      <c r="T89" s="267">
        <f t="shared" si="27"/>
        <v>0</v>
      </c>
      <c r="U89" s="267">
        <f t="shared" si="14"/>
        <v>0</v>
      </c>
      <c r="V89" s="268" t="str">
        <f>'S. INVESTIGACIÓN'!V24</f>
        <v>Se está apoyando en la consolidación de 35 grupos de investigación (MEDIANTE ACTA No. 2 DE ENERO 26 DE 2017):
1 - Agroindustria USCO  
2- Ecosistemas Surcolombianos  
3 - Grupo de Investigación en Pruebas de Pozos
4 - Nuevas Tecnologías
5 - Unificación de los Sistemas de Comunicaciones “UNITCOM”
6 - Grupo de Investigacion de Robotica , control y procesamiento de señales  ROBOCOPS
7 - Desarrollo de Neurociencias en Psicología - DNEUROPSY
8 - Parasitología y Medicina Tropical
9 - Laboratorio de Medicina Genómica
10 - Desarrollo Social, Salud Pública y Derechos Humanos
11 - Biología de la Reproducción
12 - Salud y Grupos Vulnerables
13 - Carlos Finlay
14 - Neurored
15 - Grupo Medico Quirurgico Surcolombiano
16 - Programa de Acción Curricular Alternativo – PACA
17 - Molúfode
18 - Comuniquémonos
19 - Conocimiento Profesional del Profesor de Ciencias Universidad Pedagógica Nacional y Universidad Surcolombiana
20 - Acción Motriz
21 - Aprenap
22 - Simbiosis, Hombre y Naturaleza
23 - Cre@
24 - Pymes
25 - Iguaque
26 - Culturas, Conflictos y Subjetividades
27 - Grupo de Investigación en Psicología Positiva
28 - Crecer
29 - Comunicación, Memoria y Región
30 - Dinusco
31 - Física Teórica
32 - Nuevas Visiones del Derecho
33 - Cynergia
34 - Con-ciencia Jurídica
35 - Pensamiento, Práctica y Teoría Política</v>
      </c>
      <c r="W89" s="5">
        <f>'S. PROY. SOCIAL '!W23</f>
        <v>10000000</v>
      </c>
      <c r="X89" s="5">
        <f>'S. PROY. SOCIAL '!X23</f>
        <v>3707500</v>
      </c>
      <c r="Y89" s="5">
        <f>'S. PROY. SOCIAL '!Y23</f>
        <v>6292500</v>
      </c>
      <c r="Z89" s="5">
        <f>'S. PROY. SOCIAL '!Z23</f>
        <v>0</v>
      </c>
      <c r="AA89" s="311">
        <f>'S. PROY. SOCIAL '!AA23</f>
        <v>0</v>
      </c>
      <c r="AB89" s="5">
        <f>'S. PROY. SOCIAL '!AB23</f>
        <v>0</v>
      </c>
      <c r="AC89" s="311">
        <f>'S. PROY. SOCIAL '!AC23</f>
        <v>0</v>
      </c>
      <c r="AD89" s="5">
        <f>'S. PROY. SOCIAL '!AD23</f>
        <v>0.3</v>
      </c>
      <c r="AE89" s="311">
        <f>'S. PROY. SOCIAL '!AE23</f>
        <v>0.3</v>
      </c>
      <c r="AF89" s="5">
        <f>'S. PROY. SOCIAL '!AF23</f>
        <v>0.3</v>
      </c>
      <c r="AG89" s="249">
        <f t="shared" si="28"/>
        <v>0.37075000000000002</v>
      </c>
      <c r="AH89" s="249">
        <f t="shared" si="29"/>
        <v>0.3</v>
      </c>
      <c r="AI89" s="249">
        <f t="shared" si="32"/>
        <v>0.33537499999999998</v>
      </c>
      <c r="AJ89" s="268" t="str">
        <f>'S. PROY. SOCIAL '!AJ23</f>
        <v>Para el segundo semestre se vuelve a convocar las reuniones con la Alianza.</v>
      </c>
      <c r="AK89" s="5">
        <f>'S. PROY. SOCIAL '!AK23</f>
        <v>10000000</v>
      </c>
      <c r="AL89" s="5">
        <f>'S. PROY. SOCIAL '!AL23</f>
        <v>10000000</v>
      </c>
      <c r="AM89" s="5">
        <f>'S. PROY. SOCIAL '!AM23</f>
        <v>0</v>
      </c>
      <c r="AN89" s="5">
        <f>'S. PROY. SOCIAL '!AN23</f>
        <v>0</v>
      </c>
      <c r="AO89" s="311">
        <f>'S. PROY. SOCIAL '!AO23</f>
        <v>0</v>
      </c>
      <c r="AP89" s="5">
        <f>'S. PROY. SOCIAL '!AP23</f>
        <v>0</v>
      </c>
      <c r="AQ89" s="311">
        <f>'S. PROY. SOCIAL '!AQ23</f>
        <v>0</v>
      </c>
      <c r="AR89" s="5">
        <f>'S. PROY. SOCIAL '!AR23</f>
        <v>0.7</v>
      </c>
      <c r="AS89" s="311">
        <f>'S. PROY. SOCIAL '!AS23</f>
        <v>0.7</v>
      </c>
      <c r="AT89" s="5">
        <f>'S. PROY. SOCIAL '!AT23</f>
        <v>0.7</v>
      </c>
      <c r="AU89" s="363">
        <f t="shared" si="33"/>
        <v>1</v>
      </c>
      <c r="AV89" s="363">
        <f t="shared" si="34"/>
        <v>0.7</v>
      </c>
      <c r="AW89" s="363">
        <f t="shared" si="35"/>
        <v>0.85</v>
      </c>
      <c r="AX89" s="354" t="str">
        <f>'S. PROY. SOCIAL '!AX23</f>
        <v xml:space="preserve">El Consejo academico aprobo la delegacion del profesor roberto vargas como contrapartida de la universidad al centro de desarrollo tecnologico minero energetico en la cual equivale a 440 horas de dedicacion de docente a las diferentes actividades y metas que de esa delegación se deriven. CDT MINERO ENERGÉTICO
Para el mes de octubre se tiene programado realizar la asamblea de aliaza universidad-empresa-estado-sociedad, además se continua con las reuniones de red de universidades. </v>
      </c>
    </row>
    <row r="90" spans="1:50" ht="30.75" customHeight="1" x14ac:dyDescent="0.25">
      <c r="A90" s="620"/>
      <c r="B90" s="263"/>
      <c r="C90" s="26" t="str">
        <f>Asignación!A85</f>
        <v>SP-PY5.3</v>
      </c>
      <c r="D90" s="258" t="str">
        <f>Asignación!B85</f>
        <v>Estrategia de integración al postconflicto desde la salud regional.</v>
      </c>
      <c r="E90" s="26"/>
      <c r="F90" s="266"/>
      <c r="G90" s="36"/>
      <c r="H90" s="266"/>
      <c r="I90" s="5"/>
      <c r="J90" s="5"/>
      <c r="K90" s="5"/>
      <c r="L90" s="262"/>
      <c r="M90" s="271"/>
      <c r="N90" s="262"/>
      <c r="O90" s="271"/>
      <c r="P90" s="262"/>
      <c r="Q90" s="271"/>
      <c r="R90" s="262"/>
      <c r="S90" s="267"/>
      <c r="T90" s="267"/>
      <c r="U90" s="267"/>
      <c r="V90" s="268"/>
      <c r="W90" s="5">
        <f>'S. PROY. SOCIAL '!W24</f>
        <v>4826876</v>
      </c>
      <c r="X90" s="5">
        <f>'S. PROY. SOCIAL '!X24</f>
        <v>0</v>
      </c>
      <c r="Y90" s="5">
        <f>'S. PROY. SOCIAL '!Y24</f>
        <v>4826876</v>
      </c>
      <c r="Z90" s="5">
        <f>'S. PROY. SOCIAL '!Z24</f>
        <v>0</v>
      </c>
      <c r="AA90" s="311">
        <f>'S. PROY. SOCIAL '!AA24</f>
        <v>0</v>
      </c>
      <c r="AB90" s="5">
        <f>'S. PROY. SOCIAL '!AB24</f>
        <v>0</v>
      </c>
      <c r="AC90" s="311">
        <f>'S. PROY. SOCIAL '!AC24</f>
        <v>0</v>
      </c>
      <c r="AD90" s="5">
        <f>'S. PROY. SOCIAL '!AD24</f>
        <v>0</v>
      </c>
      <c r="AE90" s="311">
        <f>'S. PROY. SOCIAL '!AE24</f>
        <v>0</v>
      </c>
      <c r="AF90" s="5">
        <f>'S. PROY. SOCIAL '!AF24</f>
        <v>0</v>
      </c>
      <c r="AG90" s="267"/>
      <c r="AH90" s="267"/>
      <c r="AI90" s="267"/>
      <c r="AJ90" s="268"/>
      <c r="AK90" s="5">
        <f>'S. PROY. SOCIAL '!AK24</f>
        <v>4826876</v>
      </c>
      <c r="AL90" s="5">
        <f>'S. PROY. SOCIAL '!AL24</f>
        <v>0</v>
      </c>
      <c r="AM90" s="5">
        <f>'S. PROY. SOCIAL '!AM24</f>
        <v>4826876</v>
      </c>
      <c r="AN90" s="5">
        <f>'S. PROY. SOCIAL '!AN24</f>
        <v>0</v>
      </c>
      <c r="AO90" s="311">
        <f>'S. PROY. SOCIAL '!AO24</f>
        <v>0</v>
      </c>
      <c r="AP90" s="5">
        <f>'S. PROY. SOCIAL '!AP24</f>
        <v>0</v>
      </c>
      <c r="AQ90" s="311">
        <f>'S. PROY. SOCIAL '!AQ24</f>
        <v>0</v>
      </c>
      <c r="AR90" s="5">
        <f>'S. PROY. SOCIAL '!AR24</f>
        <v>1</v>
      </c>
      <c r="AS90" s="311">
        <f>'S. PROY. SOCIAL '!AS24</f>
        <v>1</v>
      </c>
      <c r="AT90" s="5">
        <f>'S. PROY. SOCIAL '!AT24</f>
        <v>1</v>
      </c>
      <c r="AU90" s="363"/>
      <c r="AV90" s="363"/>
      <c r="AW90" s="363"/>
      <c r="AX90" s="354"/>
    </row>
    <row r="91" spans="1:50" ht="30" customHeight="1" x14ac:dyDescent="0.25">
      <c r="A91" s="620"/>
      <c r="B91" s="541" t="s">
        <v>252</v>
      </c>
      <c r="C91" s="26" t="str">
        <f>Asignación!A86</f>
        <v>SP-PY6.1</v>
      </c>
      <c r="D91" s="258" t="str">
        <f>Asignación!B86</f>
        <v>Apoyo a la gestión de proyectos de agenda social.</v>
      </c>
      <c r="E91" s="26">
        <f>Asignación!C86</f>
        <v>520</v>
      </c>
      <c r="F91" s="248" t="s">
        <v>89</v>
      </c>
      <c r="G91" s="331">
        <f>'S. PROY. SOCIAL '!G25</f>
        <v>2</v>
      </c>
      <c r="H91" s="210" t="str">
        <f>'S. PROY. SOCIAL '!H25</f>
        <v>PROYECTOS</v>
      </c>
      <c r="I91" s="5">
        <f>Asignación!K86</f>
        <v>20000000</v>
      </c>
      <c r="J91" s="5">
        <f>'S. PROY. SOCIAL '!J25</f>
        <v>19993101</v>
      </c>
      <c r="K91" s="5">
        <f t="shared" si="25"/>
        <v>6899</v>
      </c>
      <c r="L91" s="262">
        <f>'S. PROY. SOCIAL '!L25</f>
        <v>0</v>
      </c>
      <c r="M91" s="271">
        <f>'S. PROY. SOCIAL '!M25</f>
        <v>0</v>
      </c>
      <c r="N91" s="262">
        <f>'S. PROY. SOCIAL '!N25</f>
        <v>0</v>
      </c>
      <c r="O91" s="271">
        <f>'S. PROY. SOCIAL '!O25</f>
        <v>0</v>
      </c>
      <c r="P91" s="262">
        <f>'S. PROY. SOCIAL '!P25</f>
        <v>0</v>
      </c>
      <c r="Q91" s="271">
        <f>'S. PROY. SOCIAL '!Q25</f>
        <v>0</v>
      </c>
      <c r="R91" s="262">
        <f>'S. PROY. SOCIAL '!R25</f>
        <v>0</v>
      </c>
      <c r="S91" s="267">
        <f t="shared" si="26"/>
        <v>0.99965504999999999</v>
      </c>
      <c r="T91" s="267">
        <f t="shared" si="27"/>
        <v>0</v>
      </c>
      <c r="U91" s="267">
        <f t="shared" si="14"/>
        <v>0.49982752499999999</v>
      </c>
      <c r="V91" s="268" t="str">
        <f>'S. INVESTIGACIÓN'!V25</f>
        <v>Se apoyo con la ejecución de 06 convenios cofianciados:
1 - Convenio entre Universidad RHODE ISLAND y la USCO: CONTRATO VIPS 026-A2017, CONTRATO VIPS 077-A2017, AVANCE No. 033
2 - Convenio 707 EMGESA y la USCO: CONTRATO VIPS 011-A2017, CONTRATO VIPS 012-A2017, CONTRATO VIPS 013-A2017, CONTRATO VIPS 014-A2017, CONTRATO VIPS 015-A2017, AVANCE No. 004 
3 - Convenio 571 entre la FIDUPREVISORA y la USCO: CONTRATO VIPS 007-A2017, CONTRATO VIPS 008-A2017, CONTRATO VIPS 018-A2017, CONTRATO VIPS 021-A2017, CONTRATO VIPS 022-A2017
4 - Convenio de Cooperación ONDAS No. 245-2014 entre el Departamento del Huila y la USCO: CONTRATO VIPS 019-A2017, CONTRATO VIPS 020-A2017, CONTRATO VIPS 039-A2017, CONTRATO VIPS 040-A2017, CONTRATO VIPS 041-A2017, CONTRATO VIPS 042-A2017, CONTRATO VIPS 043-A2017, CONTRATO VIPS 044-A2017, CONTRATO VIPS 045-A2017, CONTRATO VIPS 046-A2017, CONTRATO VIPS 047-A2017, CONTRATO VIPS 048-A2017, CONTRATO VIPS 053-A2017, CONTRATO VIPS 056-A2017, CONTRATO VIPS 079-A2017, CONTRATO VIPS 080-A2017, AVANCE No. 019, AVANCE No. 039, AVANCE No. 040, AVANCE No. 047, AVANCE No. 054, AVANCE No. 052
5 - CONVENIO ENTRE LA UNIVERSIDAD DE MANCHESTER -UNIVERSIDAD DE LOS ANDES Y UNIVERSIDAD SURCOLOMBIANA: CONTRATO VIPS 050-A2017, CONTRATO VIPS 054-A2017, CONTRATO VIPS 060-A2017, CONTRATO VIPS 067-A2017, CONTRATO VIPS 074-A2017, CONTRATO VIPS 075-A2017, CONTRATO VIPS 076-A2017, CONTRATO VIPS 079-A2017, AVANCE No. 032, AVANCE No. 029
6 - Convenios confinanciados 085-2015 entre el Departamento del Huila y la USCO: CONTRATO VIPS 001-A2017, CONTRATO VIPS 002-A2017, CONTRATO VIPS 003-A2017, CONTRATO VIPS 004-A2017, CONTRATO VIPS 005-A2017, CONTRATO VIPS 027-A2017, CONTRATO VIPS 036-A2017, CONTRATO VIPS 050-A2017, CONTRATO VIPS 057-A2017, CONTRATO VIPS 062-A2017, CONTRATO VIPS 063-A2017, CONTRATO VIPS 064-A2017, CONTRATO VIPS 065-A2017, CONTRATO VIPS 089-A2017, CONTRATO VIPS 086-A2017, OTROSI CONTRATO VIPS 062-A2017.</v>
      </c>
      <c r="W91" s="5">
        <f>'S. PROY. SOCIAL '!W25</f>
        <v>20000000</v>
      </c>
      <c r="X91" s="5">
        <f>'S. PROY. SOCIAL '!X25</f>
        <v>19993101</v>
      </c>
      <c r="Y91" s="5">
        <f>'S. PROY. SOCIAL '!Y25</f>
        <v>6899</v>
      </c>
      <c r="Z91" s="5">
        <f>'S. PROY. SOCIAL '!Z25</f>
        <v>0</v>
      </c>
      <c r="AA91" s="311">
        <f>'S. PROY. SOCIAL '!AA25</f>
        <v>0</v>
      </c>
      <c r="AB91" s="5">
        <f>'S. PROY. SOCIAL '!AB25</f>
        <v>0</v>
      </c>
      <c r="AC91" s="311">
        <f>'S. PROY. SOCIAL '!AC25</f>
        <v>0</v>
      </c>
      <c r="AD91" s="5">
        <f>'S. PROY. SOCIAL '!AD25</f>
        <v>0</v>
      </c>
      <c r="AE91" s="311">
        <f>'S. PROY. SOCIAL '!AE25</f>
        <v>0</v>
      </c>
      <c r="AF91" s="5">
        <f>'S. PROY. SOCIAL '!AF25</f>
        <v>0</v>
      </c>
      <c r="AG91" s="249">
        <f t="shared" si="28"/>
        <v>0.99965504999999999</v>
      </c>
      <c r="AH91" s="249">
        <f t="shared" si="29"/>
        <v>0</v>
      </c>
      <c r="AI91" s="249">
        <f t="shared" si="32"/>
        <v>0.49982752499999999</v>
      </c>
      <c r="AJ91" s="268" t="str">
        <f>'S. PROY. SOCIAL '!AJ25</f>
        <v>Se tiene proyectado adicionar recursos, con el fin de contratar personal de apoyo administrativo para el desarrollo de los convenios interinstitucionales que se gestionen.</v>
      </c>
      <c r="AK91" s="5">
        <f>'S. PROY. SOCIAL '!AK25</f>
        <v>60000000</v>
      </c>
      <c r="AL91" s="5">
        <f>'S. PROY. SOCIAL '!AL25</f>
        <v>39343101</v>
      </c>
      <c r="AM91" s="5">
        <f>'S. PROY. SOCIAL '!AM25</f>
        <v>20656899</v>
      </c>
      <c r="AN91" s="5">
        <f>'S. PROY. SOCIAL '!AN25</f>
        <v>0</v>
      </c>
      <c r="AO91" s="311">
        <f>'S. PROY. SOCIAL '!AO25</f>
        <v>0</v>
      </c>
      <c r="AP91" s="5">
        <f>'S. PROY. SOCIAL '!AP25</f>
        <v>0</v>
      </c>
      <c r="AQ91" s="311">
        <f>'S. PROY. SOCIAL '!AQ25</f>
        <v>0</v>
      </c>
      <c r="AR91" s="5">
        <f>'S. PROY. SOCIAL '!AR25</f>
        <v>1</v>
      </c>
      <c r="AS91" s="311">
        <f>'S. PROY. SOCIAL '!AS25</f>
        <v>0.5</v>
      </c>
      <c r="AT91" s="5">
        <f>'S. PROY. SOCIAL '!AT25</f>
        <v>1</v>
      </c>
      <c r="AU91" s="363">
        <f t="shared" ref="AU91:AU100" si="36">IFERROR((AL91/AK91),0)</f>
        <v>0.65571835000000001</v>
      </c>
      <c r="AV91" s="363">
        <f t="shared" ref="AV91:AV100" si="37">IFERROR((AO91+AQ91+AS91),0)</f>
        <v>0.5</v>
      </c>
      <c r="AW91" s="363">
        <f t="shared" ref="AW91:AW123" si="38">(AU91+AV91)/2</f>
        <v>0.57785917499999995</v>
      </c>
      <c r="AX91" s="354" t="str">
        <f>'S. PROY. SOCIAL '!AX25</f>
        <v xml:space="preserve"> - Proyecto 1 es un convenio con la alcaldía de Neiva – secretaria de equidad – para desarrollar el diplomado en formación política de mujeres (ya está en ejecución) ya se está en el desarrollo del módulo 2 (son 5 módulos) que se arrancó el 1 de septiembre y quedaron inscritas 53 mujeres para todos los 5 módulos
 - Proyecto 2 Ejecución de la primera fase de la formulación del plan decenal de juventud que había un pacto que se había firmado entre el gobernador y el rector, pero en este momento se presenta un inconveniente porque no se ha podido iniciar debido a que al parecer la gobernación ha tomado la decisión de dejar eso para iniciarlo en el próximo año, entonces ese proyecto queda en Standby.</v>
      </c>
    </row>
    <row r="92" spans="1:50" ht="263.25" customHeight="1" x14ac:dyDescent="0.25">
      <c r="A92" s="620"/>
      <c r="B92" s="542"/>
      <c r="C92" s="26" t="str">
        <f>Asignación!A87</f>
        <v>SP-PY6.2</v>
      </c>
      <c r="D92" s="258" t="str">
        <f>Asignación!B87</f>
        <v>Creación y puesta en funcionamiento del Observatorio Regional de Políticas Públicas.</v>
      </c>
      <c r="E92" s="26">
        <f>Asignación!C87</f>
        <v>520</v>
      </c>
      <c r="F92" s="248" t="s">
        <v>89</v>
      </c>
      <c r="G92" s="36">
        <f>'S. PROY. SOCIAL '!G26</f>
        <v>0</v>
      </c>
      <c r="H92" s="210">
        <f>'S. PROY. SOCIAL '!H26</f>
        <v>0</v>
      </c>
      <c r="I92" s="5">
        <f>Asignación!K87</f>
        <v>0</v>
      </c>
      <c r="J92" s="5">
        <f>'S. PROY. SOCIAL '!J26</f>
        <v>0</v>
      </c>
      <c r="K92" s="5">
        <f t="shared" si="25"/>
        <v>0</v>
      </c>
      <c r="L92" s="262">
        <f>'S. PROY. SOCIAL '!L26</f>
        <v>0</v>
      </c>
      <c r="M92" s="271">
        <f>'S. PROY. SOCIAL '!M26</f>
        <v>0</v>
      </c>
      <c r="N92" s="262">
        <f>'S. PROY. SOCIAL '!N26</f>
        <v>0</v>
      </c>
      <c r="O92" s="271">
        <f>'S. PROY. SOCIAL '!O26</f>
        <v>0</v>
      </c>
      <c r="P92" s="262">
        <f>'S. PROY. SOCIAL '!P26</f>
        <v>0</v>
      </c>
      <c r="Q92" s="271">
        <f>'S. PROY. SOCIAL '!Q26</f>
        <v>0</v>
      </c>
      <c r="R92" s="262">
        <f>'S. PROY. SOCIAL '!R26</f>
        <v>0</v>
      </c>
      <c r="S92" s="267">
        <f t="shared" si="26"/>
        <v>0</v>
      </c>
      <c r="T92" s="267">
        <f t="shared" si="27"/>
        <v>0</v>
      </c>
      <c r="U92" s="267">
        <f t="shared" si="14"/>
        <v>0</v>
      </c>
      <c r="V92" s="268" t="str">
        <f>'S. INVESTIGACIÓN'!V26</f>
        <v>SE HA ESTRUCTURADO Y AVANZADO APROXIMADAMENTE UN 25% EL BANCO DE PROYECTOS: CONTRATO VIPS 006-A2017</v>
      </c>
      <c r="W92" s="5">
        <f>'S. PROY. SOCIAL '!W26</f>
        <v>0</v>
      </c>
      <c r="X92" s="5">
        <f>'S. PROY. SOCIAL '!X26</f>
        <v>0</v>
      </c>
      <c r="Y92" s="5">
        <f>'S. PROY. SOCIAL '!Y26</f>
        <v>0</v>
      </c>
      <c r="Z92" s="5">
        <f>'S. PROY. SOCIAL '!Z26</f>
        <v>0</v>
      </c>
      <c r="AA92" s="311">
        <f>'S. PROY. SOCIAL '!AA26</f>
        <v>0</v>
      </c>
      <c r="AB92" s="5">
        <f>'S. PROY. SOCIAL '!AB26</f>
        <v>0</v>
      </c>
      <c r="AC92" s="311">
        <f>'S. PROY. SOCIAL '!AC26</f>
        <v>0</v>
      </c>
      <c r="AD92" s="5">
        <f>'S. PROY. SOCIAL '!AD26</f>
        <v>0</v>
      </c>
      <c r="AE92" s="311">
        <f>'S. PROY. SOCIAL '!AE26</f>
        <v>0</v>
      </c>
      <c r="AF92" s="5">
        <f>'S. PROY. SOCIAL '!AF26</f>
        <v>0</v>
      </c>
      <c r="AG92" s="249">
        <f t="shared" si="28"/>
        <v>0</v>
      </c>
      <c r="AH92" s="249">
        <f t="shared" si="29"/>
        <v>0</v>
      </c>
      <c r="AI92" s="249">
        <f t="shared" si="32"/>
        <v>0</v>
      </c>
      <c r="AJ92" s="268">
        <f>'S. PROY. SOCIAL '!AJ26</f>
        <v>0</v>
      </c>
      <c r="AK92" s="5">
        <f>'S. PROY. SOCIAL '!AK26</f>
        <v>0</v>
      </c>
      <c r="AL92" s="5">
        <f>'S. PROY. SOCIAL '!AL26</f>
        <v>0</v>
      </c>
      <c r="AM92" s="5">
        <f>'S. PROY. SOCIAL '!AM26</f>
        <v>0</v>
      </c>
      <c r="AN92" s="5">
        <f>'S. PROY. SOCIAL '!AN26</f>
        <v>0</v>
      </c>
      <c r="AO92" s="311">
        <f>'S. PROY. SOCIAL '!AO26</f>
        <v>0</v>
      </c>
      <c r="AP92" s="5">
        <f>'S. PROY. SOCIAL '!AP26</f>
        <v>0</v>
      </c>
      <c r="AQ92" s="311">
        <f>'S. PROY. SOCIAL '!AQ26</f>
        <v>0</v>
      </c>
      <c r="AR92" s="5">
        <f>'S. PROY. SOCIAL '!AR26</f>
        <v>0</v>
      </c>
      <c r="AS92" s="311">
        <f>'S. PROY. SOCIAL '!AS26</f>
        <v>0</v>
      </c>
      <c r="AT92" s="5">
        <f>'S. PROY. SOCIAL '!AT26</f>
        <v>0</v>
      </c>
      <c r="AU92" s="363">
        <f t="shared" si="36"/>
        <v>0</v>
      </c>
      <c r="AV92" s="363">
        <f t="shared" si="37"/>
        <v>0</v>
      </c>
      <c r="AW92" s="363">
        <f t="shared" si="38"/>
        <v>0</v>
      </c>
      <c r="AX92" s="354">
        <f>'S. PROY. SOCIAL '!AX26</f>
        <v>0</v>
      </c>
    </row>
    <row r="93" spans="1:50" ht="30.75" customHeight="1" x14ac:dyDescent="0.25">
      <c r="A93" s="620"/>
      <c r="B93" s="542"/>
      <c r="C93" s="26" t="str">
        <f>Asignación!A88</f>
        <v>SP-PY6.3</v>
      </c>
      <c r="D93" s="258" t="str">
        <f>Asignación!B88</f>
        <v>Creación y puesta en funcionamiento del Instituto de Estudios Surcolombianos.</v>
      </c>
      <c r="E93" s="26">
        <f>Asignación!C88</f>
        <v>520</v>
      </c>
      <c r="F93" s="248" t="s">
        <v>89</v>
      </c>
      <c r="G93" s="36">
        <f>'S. PROY. SOCIAL '!G27</f>
        <v>0</v>
      </c>
      <c r="H93" s="210">
        <f>'S. PROY. SOCIAL '!H27</f>
        <v>0</v>
      </c>
      <c r="I93" s="5">
        <f>Asignación!K88</f>
        <v>0</v>
      </c>
      <c r="J93" s="5">
        <f>'S. PROY. SOCIAL '!J27</f>
        <v>0</v>
      </c>
      <c r="K93" s="5">
        <f t="shared" si="25"/>
        <v>0</v>
      </c>
      <c r="L93" s="262">
        <f>'S. PROY. SOCIAL '!L27</f>
        <v>0</v>
      </c>
      <c r="M93" s="271">
        <f>'S. PROY. SOCIAL '!M27</f>
        <v>0</v>
      </c>
      <c r="N93" s="262">
        <f>'S. PROY. SOCIAL '!N27</f>
        <v>0</v>
      </c>
      <c r="O93" s="271">
        <f>'S. PROY. SOCIAL '!O27</f>
        <v>0</v>
      </c>
      <c r="P93" s="262">
        <f>'S. PROY. SOCIAL '!P27</f>
        <v>0</v>
      </c>
      <c r="Q93" s="271">
        <f>'S. PROY. SOCIAL '!Q27</f>
        <v>0</v>
      </c>
      <c r="R93" s="262">
        <f>'S. PROY. SOCIAL '!R27</f>
        <v>0</v>
      </c>
      <c r="S93" s="267">
        <f t="shared" si="26"/>
        <v>0</v>
      </c>
      <c r="T93" s="267">
        <f t="shared" si="27"/>
        <v>0</v>
      </c>
      <c r="U93" s="267">
        <f t="shared" si="14"/>
        <v>0</v>
      </c>
      <c r="V93" s="268" t="str">
        <f>'S. INVESTIGACIÓN'!V27</f>
        <v>NO SE HA EJECUTADO EN ESTE TRIMESTRE - NO TIENE RECURSOS ASIGNADOS</v>
      </c>
      <c r="W93" s="5">
        <f>'S. PROY. SOCIAL '!W27</f>
        <v>0</v>
      </c>
      <c r="X93" s="5">
        <f>'S. PROY. SOCIAL '!X27</f>
        <v>0</v>
      </c>
      <c r="Y93" s="5">
        <f>'S. PROY. SOCIAL '!Y27</f>
        <v>0</v>
      </c>
      <c r="Z93" s="5">
        <f>'S. PROY. SOCIAL '!Z27</f>
        <v>0</v>
      </c>
      <c r="AA93" s="311">
        <f>'S. PROY. SOCIAL '!AA27</f>
        <v>0</v>
      </c>
      <c r="AB93" s="5">
        <f>'S. PROY. SOCIAL '!AB27</f>
        <v>0</v>
      </c>
      <c r="AC93" s="311">
        <f>'S. PROY. SOCIAL '!AC27</f>
        <v>0</v>
      </c>
      <c r="AD93" s="5">
        <f>'S. PROY. SOCIAL '!AD27</f>
        <v>0</v>
      </c>
      <c r="AE93" s="311">
        <f>'S. PROY. SOCIAL '!AE27</f>
        <v>0</v>
      </c>
      <c r="AF93" s="5">
        <f>'S. PROY. SOCIAL '!AF27</f>
        <v>0</v>
      </c>
      <c r="AG93" s="249">
        <f t="shared" si="28"/>
        <v>0</v>
      </c>
      <c r="AH93" s="249">
        <f t="shared" si="29"/>
        <v>0</v>
      </c>
      <c r="AI93" s="249">
        <f t="shared" si="32"/>
        <v>0</v>
      </c>
      <c r="AJ93" s="268">
        <f>'S. PROY. SOCIAL '!AJ27</f>
        <v>0</v>
      </c>
      <c r="AK93" s="5">
        <f>'S. PROY. SOCIAL '!AK27</f>
        <v>0</v>
      </c>
      <c r="AL93" s="5">
        <f>'S. PROY. SOCIAL '!AL27</f>
        <v>0</v>
      </c>
      <c r="AM93" s="5">
        <f>'S. PROY. SOCIAL '!AM27</f>
        <v>0</v>
      </c>
      <c r="AN93" s="5">
        <f>'S. PROY. SOCIAL '!AN27</f>
        <v>0</v>
      </c>
      <c r="AO93" s="311">
        <f>'S. PROY. SOCIAL '!AO27</f>
        <v>0</v>
      </c>
      <c r="AP93" s="5">
        <f>'S. PROY. SOCIAL '!AP27</f>
        <v>0</v>
      </c>
      <c r="AQ93" s="311">
        <f>'S. PROY. SOCIAL '!AQ27</f>
        <v>0</v>
      </c>
      <c r="AR93" s="5">
        <f>'S. PROY. SOCIAL '!AR27</f>
        <v>0</v>
      </c>
      <c r="AS93" s="311">
        <f>'S. PROY. SOCIAL '!AS27</f>
        <v>0</v>
      </c>
      <c r="AT93" s="5">
        <f>'S. PROY. SOCIAL '!AT27</f>
        <v>0</v>
      </c>
      <c r="AU93" s="363">
        <f t="shared" si="36"/>
        <v>0</v>
      </c>
      <c r="AV93" s="363">
        <f t="shared" si="37"/>
        <v>0</v>
      </c>
      <c r="AW93" s="363">
        <f t="shared" si="38"/>
        <v>0</v>
      </c>
      <c r="AX93" s="354">
        <f>'S. PROY. SOCIAL '!AX27</f>
        <v>0</v>
      </c>
    </row>
    <row r="94" spans="1:50" ht="21" customHeight="1" x14ac:dyDescent="0.25">
      <c r="A94" s="620"/>
      <c r="B94" s="543"/>
      <c r="C94" s="26" t="str">
        <f>Asignación!A89</f>
        <v>SP-PY6.4</v>
      </c>
      <c r="D94" s="258" t="str">
        <f>Asignación!B89</f>
        <v>Apoyo a la gestión de proyectos de agenda social.</v>
      </c>
      <c r="E94" s="26">
        <f>Asignación!C89</f>
        <v>520</v>
      </c>
      <c r="F94" s="248" t="s">
        <v>89</v>
      </c>
      <c r="G94" s="36">
        <f>'S. PROY. SOCIAL '!G28</f>
        <v>0</v>
      </c>
      <c r="H94" s="210">
        <f>'S. PROY. SOCIAL '!H28</f>
        <v>0</v>
      </c>
      <c r="I94" s="5">
        <f>Asignación!K89</f>
        <v>0</v>
      </c>
      <c r="J94" s="5">
        <f>'S. PROY. SOCIAL '!J28</f>
        <v>0</v>
      </c>
      <c r="K94" s="5">
        <f t="shared" si="25"/>
        <v>0</v>
      </c>
      <c r="L94" s="262">
        <f>'S. PROY. SOCIAL '!L28</f>
        <v>0</v>
      </c>
      <c r="M94" s="271">
        <f>'S. PROY. SOCIAL '!M28</f>
        <v>0</v>
      </c>
      <c r="N94" s="262">
        <f>'S. PROY. SOCIAL '!N28</f>
        <v>0</v>
      </c>
      <c r="O94" s="271">
        <f>'S. PROY. SOCIAL '!O28</f>
        <v>0</v>
      </c>
      <c r="P94" s="262">
        <f>'S. PROY. SOCIAL '!P28</f>
        <v>0</v>
      </c>
      <c r="Q94" s="271">
        <f>'S. PROY. SOCIAL '!Q28</f>
        <v>0</v>
      </c>
      <c r="R94" s="262">
        <f>'S. PROY. SOCIAL '!R28</f>
        <v>0</v>
      </c>
      <c r="S94" s="267">
        <f t="shared" si="26"/>
        <v>0</v>
      </c>
      <c r="T94" s="267">
        <f t="shared" si="27"/>
        <v>0</v>
      </c>
      <c r="U94" s="267">
        <f t="shared" si="14"/>
        <v>0</v>
      </c>
      <c r="V94" s="268" t="str">
        <f>'S. INVESTIGACIÓN'!V28</f>
        <v>NO SE HA EJECUTADO EN ESTE TRIMESTRE - NO TIENE RECURSOS ASIGNADOS</v>
      </c>
      <c r="W94" s="5">
        <f>'S. PROY. SOCIAL '!W28</f>
        <v>0</v>
      </c>
      <c r="X94" s="5">
        <f>'S. PROY. SOCIAL '!X28</f>
        <v>0</v>
      </c>
      <c r="Y94" s="5">
        <f>'S. PROY. SOCIAL '!Y28</f>
        <v>0</v>
      </c>
      <c r="Z94" s="5">
        <f>'S. PROY. SOCIAL '!Z28</f>
        <v>0</v>
      </c>
      <c r="AA94" s="311">
        <f>'S. PROY. SOCIAL '!AA28</f>
        <v>0</v>
      </c>
      <c r="AB94" s="5">
        <f>'S. PROY. SOCIAL '!AB28</f>
        <v>0</v>
      </c>
      <c r="AC94" s="311">
        <f>'S. PROY. SOCIAL '!AC28</f>
        <v>0</v>
      </c>
      <c r="AD94" s="5">
        <f>'S. PROY. SOCIAL '!AD28</f>
        <v>0</v>
      </c>
      <c r="AE94" s="311">
        <f>'S. PROY. SOCIAL '!AE28</f>
        <v>0</v>
      </c>
      <c r="AF94" s="5">
        <f>'S. PROY. SOCIAL '!AF28</f>
        <v>0</v>
      </c>
      <c r="AG94" s="249">
        <f t="shared" si="28"/>
        <v>0</v>
      </c>
      <c r="AH94" s="249">
        <f t="shared" si="29"/>
        <v>0</v>
      </c>
      <c r="AI94" s="249">
        <f t="shared" si="32"/>
        <v>0</v>
      </c>
      <c r="AJ94" s="268">
        <f>'S. PROY. SOCIAL '!AJ28</f>
        <v>0</v>
      </c>
      <c r="AK94" s="5">
        <f>'S. PROY. SOCIAL '!AK28</f>
        <v>0</v>
      </c>
      <c r="AL94" s="5">
        <f>'S. PROY. SOCIAL '!AL28</f>
        <v>0</v>
      </c>
      <c r="AM94" s="5">
        <f>'S. PROY. SOCIAL '!AM28</f>
        <v>0</v>
      </c>
      <c r="AN94" s="5">
        <f>'S. PROY. SOCIAL '!AN28</f>
        <v>0</v>
      </c>
      <c r="AO94" s="311">
        <f>'S. PROY. SOCIAL '!AO28</f>
        <v>0</v>
      </c>
      <c r="AP94" s="5">
        <f>'S. PROY. SOCIAL '!AP28</f>
        <v>0</v>
      </c>
      <c r="AQ94" s="311">
        <f>'S. PROY. SOCIAL '!AQ28</f>
        <v>0</v>
      </c>
      <c r="AR94" s="5">
        <f>'S. PROY. SOCIAL '!AR28</f>
        <v>0</v>
      </c>
      <c r="AS94" s="311">
        <f>'S. PROY. SOCIAL '!AS28</f>
        <v>0</v>
      </c>
      <c r="AT94" s="5">
        <f>'S. PROY. SOCIAL '!AT28</f>
        <v>0</v>
      </c>
      <c r="AU94" s="363">
        <f t="shared" si="36"/>
        <v>0</v>
      </c>
      <c r="AV94" s="363">
        <f t="shared" si="37"/>
        <v>0</v>
      </c>
      <c r="AW94" s="363">
        <f t="shared" si="38"/>
        <v>0</v>
      </c>
      <c r="AX94" s="354">
        <f>'S. PROY. SOCIAL '!AX28</f>
        <v>0</v>
      </c>
    </row>
    <row r="95" spans="1:50" s="28" customFormat="1" ht="51" customHeight="1" x14ac:dyDescent="0.25">
      <c r="A95" s="620" t="s">
        <v>207</v>
      </c>
      <c r="B95" s="535" t="s">
        <v>260</v>
      </c>
      <c r="C95" s="26" t="str">
        <f>Asignación!A90</f>
        <v>SP-PY7.1</v>
      </c>
      <c r="D95" s="258" t="str">
        <f>Asignación!B90</f>
        <v>Apoyo a los procesos de integración de la Educación Superior con la Educación Media, el trabajo y el desarrollo humano.</v>
      </c>
      <c r="E95" s="26">
        <f>Asignación!C90</f>
        <v>520</v>
      </c>
      <c r="F95" s="248" t="s">
        <v>89</v>
      </c>
      <c r="G95" s="331">
        <f>'S. PROY. SOCIAL '!G29</f>
        <v>1</v>
      </c>
      <c r="H95" s="210" t="str">
        <f>'S. PROY. SOCIAL '!H29</f>
        <v>EVENTOS</v>
      </c>
      <c r="I95" s="5">
        <f>Asignación!K90</f>
        <v>5000000</v>
      </c>
      <c r="J95" s="5">
        <f>'S. PROY. SOCIAL '!J29</f>
        <v>0</v>
      </c>
      <c r="K95" s="5">
        <f t="shared" si="25"/>
        <v>5000000</v>
      </c>
      <c r="L95" s="262">
        <f>'S. PROY. SOCIAL '!L29</f>
        <v>0</v>
      </c>
      <c r="M95" s="271">
        <f>'S. PROY. SOCIAL '!M29</f>
        <v>0</v>
      </c>
      <c r="N95" s="262">
        <f>'S. PROY. SOCIAL '!N29</f>
        <v>0</v>
      </c>
      <c r="O95" s="271">
        <f>'S. PROY. SOCIAL '!O29</f>
        <v>0</v>
      </c>
      <c r="P95" s="262">
        <f>'S. PROY. SOCIAL '!P29</f>
        <v>0</v>
      </c>
      <c r="Q95" s="271">
        <f>'S. PROY. SOCIAL '!Q29</f>
        <v>0</v>
      </c>
      <c r="R95" s="262">
        <f>'S. PROY. SOCIAL '!R29</f>
        <v>0</v>
      </c>
      <c r="S95" s="267">
        <f t="shared" si="26"/>
        <v>0</v>
      </c>
      <c r="T95" s="267">
        <f t="shared" si="27"/>
        <v>0</v>
      </c>
      <c r="U95" s="267">
        <f t="shared" si="14"/>
        <v>0</v>
      </c>
      <c r="V95" s="268" t="str">
        <f>'S. INVESTIGACIÓN'!V29</f>
        <v>NO SE HA EJECUTADO EN ESTE TRIMESTRE - NO TIENE RECURSOS ASIGNADOS</v>
      </c>
      <c r="W95" s="5">
        <f>'S. PROY. SOCIAL '!W29</f>
        <v>5000000</v>
      </c>
      <c r="X95" s="5">
        <f>'S. PROY. SOCIAL '!X29</f>
        <v>5000000</v>
      </c>
      <c r="Y95" s="5">
        <f>'S. PROY. SOCIAL '!Y29</f>
        <v>0</v>
      </c>
      <c r="Z95" s="5">
        <f>'S. PROY. SOCIAL '!Z29</f>
        <v>0</v>
      </c>
      <c r="AA95" s="311">
        <f>'S. PROY. SOCIAL '!AA29</f>
        <v>0</v>
      </c>
      <c r="AB95" s="5">
        <f>'S. PROY. SOCIAL '!AB29</f>
        <v>0</v>
      </c>
      <c r="AC95" s="311">
        <f>'S. PROY. SOCIAL '!AC29</f>
        <v>0</v>
      </c>
      <c r="AD95" s="5">
        <f>'S. PROY. SOCIAL '!AD29</f>
        <v>0.3</v>
      </c>
      <c r="AE95" s="311">
        <f>'S. PROY. SOCIAL '!AE29</f>
        <v>0.3</v>
      </c>
      <c r="AF95" s="5">
        <f>'S. PROY. SOCIAL '!AF29</f>
        <v>0.3</v>
      </c>
      <c r="AG95" s="249">
        <f t="shared" si="28"/>
        <v>1</v>
      </c>
      <c r="AH95" s="249">
        <f t="shared" si="29"/>
        <v>0.3</v>
      </c>
      <c r="AI95" s="249">
        <f t="shared" si="32"/>
        <v>0.65</v>
      </c>
      <c r="AJ95" s="268" t="str">
        <f>'S. PROY. SOCIAL '!AJ29</f>
        <v>Se está organizando el campamento Ondas, Se tiene proyectado para el mes de octubre, el campamento Ondas que reune instituciones educativas cercanas a nuestra Sede, donde se integra  la educación media  con la educación superior.</v>
      </c>
      <c r="AK95" s="5">
        <f>'S. PROY. SOCIAL '!AK29</f>
        <v>5000000</v>
      </c>
      <c r="AL95" s="5">
        <f>'S. PROY. SOCIAL '!AL29</f>
        <v>5000000</v>
      </c>
      <c r="AM95" s="5">
        <f>'S. PROY. SOCIAL '!AM29</f>
        <v>0</v>
      </c>
      <c r="AN95" s="5">
        <f>'S. PROY. SOCIAL '!AN29</f>
        <v>0</v>
      </c>
      <c r="AO95" s="311">
        <f>'S. PROY. SOCIAL '!AO29</f>
        <v>0</v>
      </c>
      <c r="AP95" s="5">
        <f>'S. PROY. SOCIAL '!AP29</f>
        <v>0</v>
      </c>
      <c r="AQ95" s="311">
        <f>'S. PROY. SOCIAL '!AQ29</f>
        <v>0</v>
      </c>
      <c r="AR95" s="5">
        <f>'S. PROY. SOCIAL '!AR29</f>
        <v>0.4</v>
      </c>
      <c r="AS95" s="311">
        <f>'S. PROY. SOCIAL '!AS29</f>
        <v>0.4</v>
      </c>
      <c r="AT95" s="5">
        <f>'S. PROY. SOCIAL '!AT29</f>
        <v>0.4</v>
      </c>
      <c r="AU95" s="363">
        <f t="shared" si="36"/>
        <v>1</v>
      </c>
      <c r="AV95" s="363">
        <f t="shared" si="37"/>
        <v>0.4</v>
      </c>
      <c r="AW95" s="363">
        <f t="shared" si="38"/>
        <v>0.7</v>
      </c>
      <c r="AX95" s="354" t="str">
        <f>'S. PROY. SOCIAL '!AX29</f>
        <v>SE EJECUTARA EN EL MES DE NOVIEMBRE LOS DIAS 8, 9 Y 10 EN GARZON  la realización del campamento Ondas (se espera aproximadamente 1700 personas) que reune instituciones educativas cercanas a nuestra Sede, donde se integra  la educación media  con la educación superior.
Se lleva un avance aproximado del 70%, hace falta la contratación, dentro de las actividades que se ha hecho con el equipo de trabajo están: asesorías, acompamento, formación a 450 grupos de investigación escolar Ondas, se está próximo a la conformación de la cadena observativa  en investigación que componen Ondas, semilleros y jóvenes investigadores reconocidos por Colciencas y los siguientes talleres,
1 - Tema: Sistematización de la información: Diario de Campo y bitacora - LISIMACO VALLEJO CUELLAR, CONTRATO VIPS 136-A2017
2 - Tema: Investigar una buena Onda, apoyo en la etapa de trayectoria de la indagación según metodología de la guía de investigación e innovación del Programa Ondas - AMANDA EDID BONILLA CALDERON, CONTRATO VIPS 135-A2017
3 - Tema: Análisis de base de datos cualitativos y cuantitativos de información recolectada de los proyectos de los grupos de investigación Ondas - LISIMACO VALLEJO CUELLAR, CONTRATO VIPS 315-B2017
4 - Tema:  Construcción y aplicación de instrumentos de recolección de datos e información en investigación - ANGELICA MARIA ESPAÑA MALDONADO, CONTRATO VIPS 313-B2017</v>
      </c>
    </row>
    <row r="96" spans="1:50" s="28" customFormat="1" ht="51.75" customHeight="1" x14ac:dyDescent="0.25">
      <c r="A96" s="620"/>
      <c r="B96" s="544"/>
      <c r="C96" s="26" t="str">
        <f>Asignación!A91</f>
        <v>SP-PY7.2</v>
      </c>
      <c r="D96" s="258" t="str">
        <f>Asignación!B91</f>
        <v>Programas de formación para el trabajo y el desarrollo humano con procesos de interacción de la Educación Superior con la Educación Media.</v>
      </c>
      <c r="E96" s="26">
        <f>Asignación!C91</f>
        <v>520</v>
      </c>
      <c r="F96" s="248" t="s">
        <v>89</v>
      </c>
      <c r="G96" s="331">
        <f>'S. PROY. SOCIAL '!G30</f>
        <v>1</v>
      </c>
      <c r="H96" s="210" t="str">
        <f>'S. PROY. SOCIAL '!H30</f>
        <v>PROGRAMA</v>
      </c>
      <c r="I96" s="5">
        <f>Asignación!K91</f>
        <v>5000000</v>
      </c>
      <c r="J96" s="5">
        <f>'S. PROY. SOCIAL '!J30</f>
        <v>0</v>
      </c>
      <c r="K96" s="5">
        <f t="shared" si="25"/>
        <v>5000000</v>
      </c>
      <c r="L96" s="262">
        <f>'S. PROY. SOCIAL '!L30</f>
        <v>0</v>
      </c>
      <c r="M96" s="271">
        <f>'S. PROY. SOCIAL '!M30</f>
        <v>0</v>
      </c>
      <c r="N96" s="262">
        <f>'S. PROY. SOCIAL '!N30</f>
        <v>0</v>
      </c>
      <c r="O96" s="271">
        <f>'S. PROY. SOCIAL '!O30</f>
        <v>0</v>
      </c>
      <c r="P96" s="262">
        <f>'S. PROY. SOCIAL '!P30</f>
        <v>0</v>
      </c>
      <c r="Q96" s="271">
        <f>'S. PROY. SOCIAL '!Q30</f>
        <v>0</v>
      </c>
      <c r="R96" s="262">
        <f>'S. PROY. SOCIAL '!R30</f>
        <v>0</v>
      </c>
      <c r="S96" s="267">
        <f t="shared" si="26"/>
        <v>0</v>
      </c>
      <c r="T96" s="267">
        <f t="shared" si="27"/>
        <v>0</v>
      </c>
      <c r="U96" s="267">
        <f t="shared" si="14"/>
        <v>0</v>
      </c>
      <c r="V96" s="268" t="str">
        <f>'S. INVESTIGACIÓN'!V30</f>
        <v>NO SE HA EJECUTADO EN ESTE TRIMESTRE - NO TIENE RECURSOS ASIGNADOS</v>
      </c>
      <c r="W96" s="5">
        <f>'S. PROY. SOCIAL '!W30</f>
        <v>5000000</v>
      </c>
      <c r="X96" s="5">
        <f>'S. PROY. SOCIAL '!X30</f>
        <v>0</v>
      </c>
      <c r="Y96" s="5">
        <f>'S. PROY. SOCIAL '!Y30</f>
        <v>5000000</v>
      </c>
      <c r="Z96" s="5">
        <f>'S. PROY. SOCIAL '!Z30</f>
        <v>0</v>
      </c>
      <c r="AA96" s="311">
        <f>'S. PROY. SOCIAL '!AA30</f>
        <v>0</v>
      </c>
      <c r="AB96" s="5">
        <f>'S. PROY. SOCIAL '!AB30</f>
        <v>0</v>
      </c>
      <c r="AC96" s="311">
        <f>'S. PROY. SOCIAL '!AC30</f>
        <v>0</v>
      </c>
      <c r="AD96" s="5">
        <f>'S. PROY. SOCIAL '!AD30</f>
        <v>0</v>
      </c>
      <c r="AE96" s="311">
        <f>'S. PROY. SOCIAL '!AE30</f>
        <v>0</v>
      </c>
      <c r="AF96" s="5">
        <f>'S. PROY. SOCIAL '!AF30</f>
        <v>0</v>
      </c>
      <c r="AG96" s="249">
        <f t="shared" si="28"/>
        <v>0</v>
      </c>
      <c r="AH96" s="249">
        <f t="shared" si="29"/>
        <v>0</v>
      </c>
      <c r="AI96" s="249">
        <f t="shared" si="32"/>
        <v>0</v>
      </c>
      <c r="AJ96" s="268" t="str">
        <f>'S. PROY. SOCIAL '!AJ30</f>
        <v>Se proyecta el apoyo a eventos que desarrollan nuestros estudiantes y graduados en relación a la interacción de estos dos niveles de formación.</v>
      </c>
      <c r="AK96" s="5">
        <f>'S. PROY. SOCIAL '!AK30</f>
        <v>5000000</v>
      </c>
      <c r="AL96" s="5">
        <f>'S. PROY. SOCIAL '!AL30</f>
        <v>0</v>
      </c>
      <c r="AM96" s="5">
        <f>'S. PROY. SOCIAL '!AM30</f>
        <v>5000000</v>
      </c>
      <c r="AN96" s="5">
        <f>'S. PROY. SOCIAL '!AN30</f>
        <v>0</v>
      </c>
      <c r="AO96" s="311">
        <f>'S. PROY. SOCIAL '!AO30</f>
        <v>0</v>
      </c>
      <c r="AP96" s="5">
        <f>'S. PROY. SOCIAL '!AP30</f>
        <v>0</v>
      </c>
      <c r="AQ96" s="311">
        <f>'S. PROY. SOCIAL '!AQ30</f>
        <v>0</v>
      </c>
      <c r="AR96" s="5">
        <f>'S. PROY. SOCIAL '!AR30</f>
        <v>0</v>
      </c>
      <c r="AS96" s="311">
        <f>'S. PROY. SOCIAL '!AS30</f>
        <v>0</v>
      </c>
      <c r="AT96" s="5">
        <f>'S. PROY. SOCIAL '!AT30</f>
        <v>0</v>
      </c>
      <c r="AU96" s="363">
        <f t="shared" si="36"/>
        <v>0</v>
      </c>
      <c r="AV96" s="363">
        <f t="shared" si="37"/>
        <v>0</v>
      </c>
      <c r="AW96" s="363">
        <f t="shared" si="38"/>
        <v>0</v>
      </c>
      <c r="AX96" s="354" t="str">
        <f>'S. PROY. SOCIAL '!AX30</f>
        <v>Pendiente por información, no se ha ejecutado en este trimestre</v>
      </c>
    </row>
    <row r="97" spans="1:50" ht="59.25" customHeight="1" x14ac:dyDescent="0.25">
      <c r="A97" s="620"/>
      <c r="B97" s="541" t="s">
        <v>266</v>
      </c>
      <c r="C97" s="26" t="str">
        <f>Asignación!A92</f>
        <v>SP-PY8.1</v>
      </c>
      <c r="D97" s="258" t="str">
        <f>Asignación!B92</f>
        <v>Elaboracion y puesta en marcha del  Plan estratégico de comunicaciones.</v>
      </c>
      <c r="E97" s="26">
        <f>Asignación!C92</f>
        <v>520</v>
      </c>
      <c r="F97" s="248" t="s">
        <v>89</v>
      </c>
      <c r="G97" s="331">
        <f>'S. PROY. SOCIAL '!G31</f>
        <v>1</v>
      </c>
      <c r="H97" s="210" t="str">
        <f>'S. PROY. SOCIAL '!H31</f>
        <v>PLA ESTRATEGICO, YA SE HIZO YA ESTA APORBADA LA POLITICA</v>
      </c>
      <c r="I97" s="5">
        <f>Asignación!K92</f>
        <v>6000000</v>
      </c>
      <c r="J97" s="5">
        <f>'S. PROY. SOCIAL '!J32</f>
        <v>0</v>
      </c>
      <c r="K97" s="5">
        <f t="shared" si="25"/>
        <v>6000000</v>
      </c>
      <c r="L97" s="262">
        <f>'S. PROY. SOCIAL '!L31</f>
        <v>0</v>
      </c>
      <c r="M97" s="271">
        <f>'S. PROY. SOCIAL '!M31</f>
        <v>0</v>
      </c>
      <c r="N97" s="262">
        <f>'S. PROY. SOCIAL '!N31</f>
        <v>0</v>
      </c>
      <c r="O97" s="271">
        <f>'S. PROY. SOCIAL '!O31</f>
        <v>0</v>
      </c>
      <c r="P97" s="262">
        <f>'S. PROY. SOCIAL '!P31</f>
        <v>0</v>
      </c>
      <c r="Q97" s="271">
        <f>'S. PROY. SOCIAL '!Q31</f>
        <v>0</v>
      </c>
      <c r="R97" s="262">
        <f>'S. PROY. SOCIAL '!R31</f>
        <v>0</v>
      </c>
      <c r="S97" s="267">
        <f t="shared" si="26"/>
        <v>0</v>
      </c>
      <c r="T97" s="267">
        <f t="shared" si="27"/>
        <v>0</v>
      </c>
      <c r="U97" s="267">
        <f t="shared" si="14"/>
        <v>0</v>
      </c>
      <c r="V97" s="268" t="str">
        <f>'S. INVESTIGACIÓN'!V31</f>
        <v>NO SE HA EJECUTADO EN ESTE TRIMESTRE - NO TIENE RECURSOS ASIGNADOS</v>
      </c>
      <c r="W97" s="5">
        <f>'S. PROY. SOCIAL '!W32</f>
        <v>0</v>
      </c>
      <c r="X97" s="5">
        <f>'S. PROY. SOCIAL '!X32</f>
        <v>0</v>
      </c>
      <c r="Y97" s="5">
        <f>'S. PROY. SOCIAL '!Y32</f>
        <v>0</v>
      </c>
      <c r="Z97" s="5">
        <f>'S. PROY. SOCIAL '!Z31</f>
        <v>0</v>
      </c>
      <c r="AA97" s="311">
        <f>'S. PROY. SOCIAL '!AA31</f>
        <v>0</v>
      </c>
      <c r="AB97" s="5">
        <f>'S. PROY. SOCIAL '!AB31</f>
        <v>0</v>
      </c>
      <c r="AC97" s="311">
        <f>'S. PROY. SOCIAL '!AC31</f>
        <v>0</v>
      </c>
      <c r="AD97" s="5">
        <f>'S. PROY. SOCIAL '!AD31</f>
        <v>0</v>
      </c>
      <c r="AE97" s="311">
        <f>'S. PROY. SOCIAL '!AE31</f>
        <v>0</v>
      </c>
      <c r="AF97" s="5">
        <f>'S. PROY. SOCIAL '!AF31</f>
        <v>0</v>
      </c>
      <c r="AG97" s="249">
        <f t="shared" si="28"/>
        <v>0</v>
      </c>
      <c r="AH97" s="249">
        <f t="shared" si="29"/>
        <v>0</v>
      </c>
      <c r="AI97" s="249">
        <f t="shared" si="32"/>
        <v>0</v>
      </c>
      <c r="AJ97" s="268" t="str">
        <f>'S. PROY. SOCIAL '!AJ31</f>
        <v>Se redistribuyen los recursos asignados en las otras actividades del Plan de Acciòn.</v>
      </c>
      <c r="AK97" s="5">
        <f>'S. PROY. SOCIAL '!AK32</f>
        <v>0</v>
      </c>
      <c r="AL97" s="5">
        <f>'S. PROY. SOCIAL '!AL32</f>
        <v>0</v>
      </c>
      <c r="AM97" s="5">
        <f>'S. PROY. SOCIAL '!AM32</f>
        <v>0</v>
      </c>
      <c r="AN97" s="5">
        <f>'S. PROY. SOCIAL '!AN31</f>
        <v>0</v>
      </c>
      <c r="AO97" s="311">
        <f>'S. PROY. SOCIAL '!AO31</f>
        <v>0</v>
      </c>
      <c r="AP97" s="5">
        <f>'S. PROY. SOCIAL '!AP31</f>
        <v>0</v>
      </c>
      <c r="AQ97" s="311">
        <f>'S. PROY. SOCIAL '!AQ31</f>
        <v>0</v>
      </c>
      <c r="AR97" s="5">
        <f>'S. PROY. SOCIAL '!AR31</f>
        <v>0</v>
      </c>
      <c r="AS97" s="311">
        <f>'S. PROY. SOCIAL '!AS31</f>
        <v>0</v>
      </c>
      <c r="AT97" s="5">
        <f>'S. PROY. SOCIAL '!AT31</f>
        <v>0</v>
      </c>
      <c r="AU97" s="363">
        <f t="shared" si="36"/>
        <v>0</v>
      </c>
      <c r="AV97" s="363">
        <f t="shared" si="37"/>
        <v>0</v>
      </c>
      <c r="AW97" s="363">
        <f t="shared" si="38"/>
        <v>0</v>
      </c>
      <c r="AX97" s="354">
        <f>'S. PROY. SOCIAL '!AX31</f>
        <v>0</v>
      </c>
    </row>
    <row r="98" spans="1:50" ht="48" customHeight="1" x14ac:dyDescent="0.25">
      <c r="A98" s="620"/>
      <c r="B98" s="542"/>
      <c r="C98" s="26" t="str">
        <f>Asignación!A93</f>
        <v>SP-PY8.2</v>
      </c>
      <c r="D98" s="258" t="str">
        <f>Asignación!B93</f>
        <v>Renovación Hosting y  elaboración de revista para comunicaciones y divulgación de actividades resultado de proyección social.</v>
      </c>
      <c r="E98" s="26">
        <f>Asignación!C93</f>
        <v>520</v>
      </c>
      <c r="F98" s="248" t="s">
        <v>89</v>
      </c>
      <c r="G98" s="331">
        <f>'S. PROY. SOCIAL '!G32</f>
        <v>1</v>
      </c>
      <c r="H98" s="210" t="str">
        <f>'S. PROY. SOCIAL '!H32</f>
        <v>PLAN ESTRATEGICO, YA SE HIZO YA ESTA APORBADA LA POLITICA</v>
      </c>
      <c r="I98" s="5">
        <f>Asignación!K93</f>
        <v>6000000</v>
      </c>
      <c r="J98" s="5">
        <f>'S. PROY. SOCIAL '!J33</f>
        <v>0</v>
      </c>
      <c r="K98" s="5">
        <f t="shared" si="25"/>
        <v>6000000</v>
      </c>
      <c r="L98" s="262">
        <f>'S. PROY. SOCIAL '!L32</f>
        <v>0</v>
      </c>
      <c r="M98" s="271">
        <f>'S. PROY. SOCIAL '!M32</f>
        <v>0</v>
      </c>
      <c r="N98" s="262">
        <f>'S. PROY. SOCIAL '!N32</f>
        <v>0</v>
      </c>
      <c r="O98" s="271">
        <f>'S. PROY. SOCIAL '!O32</f>
        <v>0</v>
      </c>
      <c r="P98" s="262">
        <f>'S. PROY. SOCIAL '!P32</f>
        <v>0</v>
      </c>
      <c r="Q98" s="271">
        <f>'S. PROY. SOCIAL '!Q32</f>
        <v>0</v>
      </c>
      <c r="R98" s="262">
        <f>'S. PROY. SOCIAL '!R32</f>
        <v>0</v>
      </c>
      <c r="S98" s="267">
        <f t="shared" si="26"/>
        <v>0</v>
      </c>
      <c r="T98" s="267">
        <f t="shared" si="27"/>
        <v>0</v>
      </c>
      <c r="U98" s="267">
        <f t="shared" si="14"/>
        <v>0</v>
      </c>
      <c r="V98" s="268" t="str">
        <f>'S. INVESTIGACIÓN'!V32</f>
        <v>NO SE HA EJECUTADO EN ESTE TRIMESTRE - NO TIENE RECURSOS ASIGNADOS</v>
      </c>
      <c r="W98" s="5">
        <f>'S. PROY. SOCIAL '!W33</f>
        <v>200000</v>
      </c>
      <c r="X98" s="5">
        <f>'S. PROY. SOCIAL '!X33</f>
        <v>200000</v>
      </c>
      <c r="Y98" s="5">
        <f>'S. PROY. SOCIAL '!Y33</f>
        <v>0</v>
      </c>
      <c r="Z98" s="5">
        <f>'S. PROY. SOCIAL '!Z32</f>
        <v>0</v>
      </c>
      <c r="AA98" s="311">
        <f>'S. PROY. SOCIAL '!AA32</f>
        <v>0</v>
      </c>
      <c r="AB98" s="5">
        <f>'S. PROY. SOCIAL '!AB32</f>
        <v>0</v>
      </c>
      <c r="AC98" s="311">
        <f>'S. PROY. SOCIAL '!AC32</f>
        <v>0</v>
      </c>
      <c r="AD98" s="5">
        <f>'S. PROY. SOCIAL '!AD32</f>
        <v>0</v>
      </c>
      <c r="AE98" s="311">
        <f>'S. PROY. SOCIAL '!AE32</f>
        <v>0</v>
      </c>
      <c r="AF98" s="5">
        <f>'S. PROY. SOCIAL '!AF32</f>
        <v>0</v>
      </c>
      <c r="AG98" s="249">
        <f t="shared" si="28"/>
        <v>1</v>
      </c>
      <c r="AH98" s="249">
        <f t="shared" si="29"/>
        <v>0</v>
      </c>
      <c r="AI98" s="249">
        <f t="shared" si="32"/>
        <v>0.5</v>
      </c>
      <c r="AJ98" s="268" t="str">
        <f>'S. PROY. SOCIAL '!AJ32</f>
        <v>Renovaciòn de Hosting de la pàgina Web del portal de noticias de la Universidad.</v>
      </c>
      <c r="AK98" s="5">
        <f>'S. PROY. SOCIAL '!AK33</f>
        <v>200000</v>
      </c>
      <c r="AL98" s="5">
        <f>'S. PROY. SOCIAL '!AL33</f>
        <v>200000</v>
      </c>
      <c r="AM98" s="5">
        <f>'S. PROY. SOCIAL '!AM33</f>
        <v>0</v>
      </c>
      <c r="AN98" s="5">
        <f>'S. PROY. SOCIAL '!AN32</f>
        <v>0</v>
      </c>
      <c r="AO98" s="311">
        <f>'S. PROY. SOCIAL '!AO32</f>
        <v>0</v>
      </c>
      <c r="AP98" s="5">
        <f>'S. PROY. SOCIAL '!AP32</f>
        <v>0</v>
      </c>
      <c r="AQ98" s="311">
        <f>'S. PROY. SOCIAL '!AQ32</f>
        <v>0</v>
      </c>
      <c r="AR98" s="5">
        <f>'S. PROY. SOCIAL '!AR32</f>
        <v>0.5</v>
      </c>
      <c r="AS98" s="311">
        <f>'S. PROY. SOCIAL '!AS32</f>
        <v>0.5</v>
      </c>
      <c r="AT98" s="5">
        <f>'S. PROY. SOCIAL '!AT32</f>
        <v>0.5</v>
      </c>
      <c r="AU98" s="363">
        <f t="shared" si="36"/>
        <v>1</v>
      </c>
      <c r="AV98" s="363">
        <f t="shared" si="37"/>
        <v>0.5</v>
      </c>
      <c r="AW98" s="363">
        <f t="shared" si="38"/>
        <v>0.75</v>
      </c>
      <c r="AX98" s="354" t="str">
        <f>'S. PROY. SOCIAL '!AX32</f>
        <v>La política de comunicaciones se creó en el 2013 pero el sistema arranco este año, se esta en proceso de construcción de un plan estratégico, se esta construyendo junto con calidad, indicadores, mapas de riesgos, etc.; se lleva un avance de un 50%. Debido a que la contratación de las unidades ha sido  por cortos periodos y por ende los avances no han sido significativos. Se ha avanzado de forma paulatina en compañía de los contratistas y con el apoyo de calidad en reuniones para construir los mencionados indicadores de gestion, mapas de riesgos y para elaborar finalmente el plan estrategico; el sistema de comunicaciones e información institucional es la unidad más nueva de la universidad.</v>
      </c>
    </row>
    <row r="99" spans="1:50" ht="41.25" customHeight="1" x14ac:dyDescent="0.25">
      <c r="A99" s="620"/>
      <c r="B99" s="542"/>
      <c r="C99" s="26" t="str">
        <f>Asignación!A94</f>
        <v>SP-PY8.3</v>
      </c>
      <c r="D99" s="258" t="str">
        <f>Asignación!B94</f>
        <v>Fortalecimiento de medios audiovisuales institucionales.</v>
      </c>
      <c r="E99" s="26">
        <f>Asignación!C94</f>
        <v>520</v>
      </c>
      <c r="F99" s="248" t="s">
        <v>89</v>
      </c>
      <c r="G99" s="331">
        <f>'S. PROY. SOCIAL '!G33</f>
        <v>1</v>
      </c>
      <c r="H99" s="210" t="str">
        <f>'S. PROY. SOCIAL '!H33</f>
        <v>ADQUISICIÓN HOSTING - REVISTA 2017</v>
      </c>
      <c r="I99" s="5">
        <f>Asignación!K94</f>
        <v>200000000</v>
      </c>
      <c r="J99" s="5">
        <f>'S. PROY. SOCIAL '!J34</f>
        <v>139779342</v>
      </c>
      <c r="K99" s="5">
        <f t="shared" si="25"/>
        <v>60220658</v>
      </c>
      <c r="L99" s="262">
        <f>'S. PROY. SOCIAL '!L33</f>
        <v>0</v>
      </c>
      <c r="M99" s="271">
        <f>'S. PROY. SOCIAL '!M33</f>
        <v>0</v>
      </c>
      <c r="N99" s="262">
        <f>'S. PROY. SOCIAL '!N33</f>
        <v>0</v>
      </c>
      <c r="O99" s="271">
        <f>'S. PROY. SOCIAL '!O33</f>
        <v>0</v>
      </c>
      <c r="P99" s="262">
        <f>'S. PROY. SOCIAL '!P33</f>
        <v>0</v>
      </c>
      <c r="Q99" s="271">
        <f>'S. PROY. SOCIAL '!Q33</f>
        <v>0</v>
      </c>
      <c r="R99" s="262">
        <f>'S. PROY. SOCIAL '!R33</f>
        <v>0</v>
      </c>
      <c r="S99" s="267">
        <f t="shared" si="26"/>
        <v>0.69889670999999998</v>
      </c>
      <c r="T99" s="267">
        <f t="shared" si="27"/>
        <v>0</v>
      </c>
      <c r="U99" s="267">
        <f t="shared" si="14"/>
        <v>0.34944835499999999</v>
      </c>
      <c r="V99" s="268" t="str">
        <f>'S. INVESTIGACIÓN'!V33</f>
        <v>NO SE HA EJECUTADO EN ESTE TRIMESTRE - NO TIENE RECURSOS ASIGNADOS</v>
      </c>
      <c r="W99" s="5">
        <f>'S. PROY. SOCIAL '!W34</f>
        <v>226800000</v>
      </c>
      <c r="X99" s="5">
        <f>'S. PROY. SOCIAL '!X34</f>
        <v>194250653</v>
      </c>
      <c r="Y99" s="5">
        <f>'S. PROY. SOCIAL '!Y34</f>
        <v>32549347</v>
      </c>
      <c r="Z99" s="5">
        <f>'S. PROY. SOCIAL '!Z33</f>
        <v>0</v>
      </c>
      <c r="AA99" s="311">
        <f>'S. PROY. SOCIAL '!AA33</f>
        <v>0</v>
      </c>
      <c r="AB99" s="5">
        <f>'S. PROY. SOCIAL '!AB33</f>
        <v>0</v>
      </c>
      <c r="AC99" s="311">
        <f>'S. PROY. SOCIAL '!AC33</f>
        <v>0</v>
      </c>
      <c r="AD99" s="5">
        <f>'S. PROY. SOCIAL '!AD33</f>
        <v>1</v>
      </c>
      <c r="AE99" s="311">
        <f>'S. PROY. SOCIAL '!AE33</f>
        <v>1</v>
      </c>
      <c r="AF99" s="5">
        <f>'S. PROY. SOCIAL '!AF33</f>
        <v>1</v>
      </c>
      <c r="AG99" s="249">
        <f t="shared" si="28"/>
        <v>0.85648436067019396</v>
      </c>
      <c r="AH99" s="249">
        <f t="shared" si="29"/>
        <v>1</v>
      </c>
      <c r="AI99" s="249">
        <f t="shared" si="32"/>
        <v>0.92824218033509698</v>
      </c>
      <c r="AJ99" s="268" t="str">
        <f>'S. PROY. SOCIAL '!AJ33</f>
        <v>Pago prorroga licencia de funcionamiento emisora Usco.
Pago anual como contraprestaciòn por uso del espectro radioelèctrico de la emisora universiaria.
Contrato Microkits electrònica SAS.
Se contrata a Efrain Augusto Zoque
Viáticos a Diego Fernando Achury para desplazamiento a las sedes Garzòn, Pitalito y La Plata.
Viáticos a Hernando Ceròn Carlosama para desplazamiento a las sedes. 
Contrato a Paola andrea Mora.  Servicio de apoyo logístico con el fin de articular procesos comunicativos.</v>
      </c>
      <c r="AK99" s="5">
        <f>'S. PROY. SOCIAL '!AK34</f>
        <v>286800000</v>
      </c>
      <c r="AL99" s="5">
        <f>'S. PROY. SOCIAL '!AL34</f>
        <v>240119602</v>
      </c>
      <c r="AM99" s="5">
        <f>'S. PROY. SOCIAL '!AM34</f>
        <v>46680398</v>
      </c>
      <c r="AN99" s="5">
        <f>'S. PROY. SOCIAL '!AN33</f>
        <v>0</v>
      </c>
      <c r="AO99" s="311">
        <f>'S. PROY. SOCIAL '!AO33</f>
        <v>0</v>
      </c>
      <c r="AP99" s="5">
        <f>'S. PROY. SOCIAL '!AP33</f>
        <v>0</v>
      </c>
      <c r="AQ99" s="311">
        <f>'S. PROY. SOCIAL '!AQ33</f>
        <v>0</v>
      </c>
      <c r="AR99" s="5">
        <f>'S. PROY. SOCIAL '!AR33</f>
        <v>0</v>
      </c>
      <c r="AS99" s="311">
        <f>'S. PROY. SOCIAL '!AS33</f>
        <v>0</v>
      </c>
      <c r="AT99" s="5">
        <f>'S. PROY. SOCIAL '!AT33</f>
        <v>0</v>
      </c>
      <c r="AU99" s="363">
        <f t="shared" si="36"/>
        <v>0.83723710599721057</v>
      </c>
      <c r="AV99" s="363">
        <f t="shared" si="37"/>
        <v>0</v>
      </c>
      <c r="AW99" s="363">
        <f t="shared" si="38"/>
        <v>0.41861855299860529</v>
      </c>
      <c r="AX99" s="354" t="str">
        <f>'S. PROY. SOCIAL '!AX33</f>
        <v>META YA CUMPLIDA, se pagó la renovación del hosting.</v>
      </c>
    </row>
    <row r="100" spans="1:50" ht="59.25" customHeight="1" x14ac:dyDescent="0.25">
      <c r="A100" s="620"/>
      <c r="B100" s="542"/>
      <c r="C100" s="26" t="str">
        <f>Asignación!A95</f>
        <v>SP-PY8.4</v>
      </c>
      <c r="D100" s="258" t="str">
        <f>Asignación!B95</f>
        <v>Elaboración de prospectos, revistas e instructivos-publicidad.</v>
      </c>
      <c r="E100" s="26">
        <f>Asignación!C95</f>
        <v>520</v>
      </c>
      <c r="F100" s="248" t="s">
        <v>277</v>
      </c>
      <c r="G100" s="331">
        <f>'S. PROY. SOCIAL '!G34</f>
        <v>5</v>
      </c>
      <c r="H100" s="210" t="str">
        <f>'S. PROY. SOCIAL '!H34</f>
        <v>CONTRATACION DE APOYO ADMINISTRATIVO PARA LA UNIDAD DE MEDIOS</v>
      </c>
      <c r="I100" s="5">
        <f>Asignación!K95</f>
        <v>22029791</v>
      </c>
      <c r="J100" s="5">
        <f>'S. PROY. SOCIAL '!J35</f>
        <v>1000000</v>
      </c>
      <c r="K100" s="5">
        <f t="shared" si="25"/>
        <v>21029791</v>
      </c>
      <c r="L100" s="262">
        <f>'S. PROY. SOCIAL '!L34</f>
        <v>2</v>
      </c>
      <c r="M100" s="271">
        <f>'S. PROY. SOCIAL '!M34</f>
        <v>0.4</v>
      </c>
      <c r="N100" s="262">
        <f>'S. PROY. SOCIAL '!N34</f>
        <v>5</v>
      </c>
      <c r="O100" s="271">
        <f>'S. PROY. SOCIAL '!O34</f>
        <v>1</v>
      </c>
      <c r="P100" s="262">
        <f>'S. PROY. SOCIAL '!P34</f>
        <v>0</v>
      </c>
      <c r="Q100" s="271">
        <f>'S. PROY. SOCIAL '!Q34</f>
        <v>0</v>
      </c>
      <c r="R100" s="262">
        <f>'S. PROY. SOCIAL '!R34</f>
        <v>7</v>
      </c>
      <c r="S100" s="267">
        <f t="shared" si="26"/>
        <v>4.5393077038270585E-2</v>
      </c>
      <c r="T100" s="267">
        <f t="shared" si="27"/>
        <v>1.4</v>
      </c>
      <c r="U100" s="267">
        <f t="shared" si="14"/>
        <v>0.72269653851913529</v>
      </c>
      <c r="V100" s="268" t="str">
        <f>'S. INVESTIGACIÓN'!V34</f>
        <v>Apoyo a la creación y fortalecimiento de centros de investigación y vigilancia tecnológica e innovación: 
1 - Facultad Economía y Admón. (CESPOSUR): CONTRATO VIPS 049-A2017
2 - Facultad Ingeniería (CESURCAFE): AVANCE No. 031, CONTRATO VIPS 090-A2017, ORDEN ADMINISTRATIVA No. 007, AVANCE No. 044
3 - Facultad Educación (CIECE): ORDEN ADMINISTRATIVA No. 021
4 - Facultad de Ciencias Sociales (CIS): CONTRATO VIPS 059-A2017</v>
      </c>
      <c r="W100" s="5">
        <f>'S. PROY. SOCIAL '!W35</f>
        <v>65967589</v>
      </c>
      <c r="X100" s="5">
        <f>'S. PROY. SOCIAL '!X35</f>
        <v>7499162</v>
      </c>
      <c r="Y100" s="5">
        <f>'S. PROY. SOCIAL '!Y35</f>
        <v>58468427</v>
      </c>
      <c r="Z100" s="5">
        <f>'S. PROY. SOCIAL '!Z34</f>
        <v>1</v>
      </c>
      <c r="AA100" s="311">
        <f>'S. PROY. SOCIAL '!AA34</f>
        <v>0.2</v>
      </c>
      <c r="AB100" s="5">
        <f>'S. PROY. SOCIAL '!AB34</f>
        <v>1</v>
      </c>
      <c r="AC100" s="311">
        <f>'S. PROY. SOCIAL '!AC34</f>
        <v>0.2</v>
      </c>
      <c r="AD100" s="5">
        <f>'S. PROY. SOCIAL '!AD34</f>
        <v>2</v>
      </c>
      <c r="AE100" s="311">
        <f>'S. PROY. SOCIAL '!AE34</f>
        <v>0.4</v>
      </c>
      <c r="AF100" s="5">
        <f>'S. PROY. SOCIAL '!AF34</f>
        <v>4</v>
      </c>
      <c r="AG100" s="249">
        <f t="shared" si="28"/>
        <v>0.11367949190927684</v>
      </c>
      <c r="AH100" s="249">
        <f t="shared" si="29"/>
        <v>0.8</v>
      </c>
      <c r="AI100" s="249">
        <f t="shared" si="32"/>
        <v>0.45683974595463844</v>
      </c>
      <c r="AJ100" s="268" t="str">
        <f>'S. PROY. SOCIAL '!AJ34</f>
        <v>Imagen institucional
Articulación y visibilización interna y externa
Manual de Identidad
Construcción de diferentes videos institucionales por unidad académico administrativa.
Emisora radial Surcolombiana
14 entrevistas Ágora
1 Programa Ágora Surcolombiana
1 Producto Vía universitaria
3 Productos en pre-producción
157 Programas radiales
Para lo cual se  contratan  las siguientes personas para apoyo administrativo:
Jerson Ramírez Iniguez.  CPS-004
William Camilo Cardozo.  CPS-005
Sheyla Stefanía Henao Moreno.  CPS-006
Tania Marcela Montano Cardozo.  CPS-007
Jorge Assad Chávarro.  CPS-008
Juan Pablo Herrera Moreno.  VIPS-024
Fernando Charry González.  O.A. 013
Germán Mauricio Montealegre. VIPS 034-A2017.
Juan Guillermo Soto.  VIPS 038-A2017.
Diego Fernando Achury.  VIPS 033-A2017.
Carlos Mauricio Romero.  VIPS 037-A2017
Isabel Cristina González Cedeño.  VIPS051-A2017.
Sayco.  Pago derechos de autor.  Orden Administrativa
Editora Surcolombiana.  Impresión 2 ediciones.  VIPS 085
Fondo de Tecnologías de la Información y las comunicciones</v>
      </c>
      <c r="AK100" s="5">
        <f>'S. PROY. SOCIAL '!AK35</f>
        <v>65967589</v>
      </c>
      <c r="AL100" s="5">
        <f>'S. PROY. SOCIAL '!AL35</f>
        <v>46024162</v>
      </c>
      <c r="AM100" s="5">
        <f>'S. PROY. SOCIAL '!AM35</f>
        <v>19943427</v>
      </c>
      <c r="AN100" s="5">
        <f>'S. PROY. SOCIAL '!AN34</f>
        <v>0</v>
      </c>
      <c r="AO100" s="311">
        <f>'S. PROY. SOCIAL '!AO34</f>
        <v>0</v>
      </c>
      <c r="AP100" s="5">
        <f>'S. PROY. SOCIAL '!AP34</f>
        <v>0</v>
      </c>
      <c r="AQ100" s="311">
        <f>'S. PROY. SOCIAL '!AQ34</f>
        <v>0</v>
      </c>
      <c r="AR100" s="5">
        <f>'S. PROY. SOCIAL '!AR34</f>
        <v>0</v>
      </c>
      <c r="AS100" s="311">
        <f>'S. PROY. SOCIAL '!AS34</f>
        <v>0</v>
      </c>
      <c r="AT100" s="5">
        <f>'S. PROY. SOCIAL '!AT34</f>
        <v>0</v>
      </c>
      <c r="AU100" s="363">
        <f t="shared" si="36"/>
        <v>0.6976784008280188</v>
      </c>
      <c r="AV100" s="363">
        <f t="shared" si="37"/>
        <v>0</v>
      </c>
      <c r="AW100" s="363">
        <f t="shared" si="38"/>
        <v>0.3488392004140094</v>
      </c>
      <c r="AX100" s="354" t="str">
        <f>'S. PROY. SOCIAL '!AX34</f>
        <v>META YA CUMPLIDA</v>
      </c>
    </row>
    <row r="101" spans="1:50" s="17" customFormat="1" ht="20.25" customHeight="1" x14ac:dyDescent="0.25">
      <c r="A101" s="16"/>
      <c r="B101" s="617" t="s">
        <v>280</v>
      </c>
      <c r="C101" s="618"/>
      <c r="D101" s="618"/>
      <c r="E101" s="618"/>
      <c r="F101" s="619"/>
      <c r="G101" s="41"/>
      <c r="H101" s="41"/>
      <c r="I101" s="15">
        <f>SUM(I70:I100)</f>
        <v>2077873680</v>
      </c>
      <c r="J101" s="15">
        <f t="shared" ref="J101:K101" si="39">SUM(J70:J100)</f>
        <v>485984761</v>
      </c>
      <c r="K101" s="15">
        <f t="shared" si="39"/>
        <v>1591888919</v>
      </c>
      <c r="L101" s="16"/>
      <c r="M101" s="16"/>
      <c r="N101" s="16"/>
      <c r="O101" s="16"/>
      <c r="P101" s="16"/>
      <c r="Q101" s="16"/>
      <c r="R101" s="16"/>
      <c r="S101" s="16"/>
      <c r="T101" s="16"/>
      <c r="U101" s="16">
        <f t="shared" ref="U101:U145" si="40">(S101+T101)/2</f>
        <v>0</v>
      </c>
      <c r="V101" s="16"/>
      <c r="W101" s="15">
        <f>SUM(W70:W100)</f>
        <v>2432390317</v>
      </c>
      <c r="X101" s="15">
        <f>SUM(X70:X100)</f>
        <v>1497180182</v>
      </c>
      <c r="Y101" s="15">
        <f>SUM(Y70:Y100)</f>
        <v>935210135</v>
      </c>
      <c r="Z101" s="16"/>
      <c r="AA101" s="16"/>
      <c r="AB101" s="16"/>
      <c r="AC101" s="16"/>
      <c r="AD101" s="16"/>
      <c r="AE101" s="16"/>
      <c r="AF101" s="16"/>
      <c r="AG101" s="16"/>
      <c r="AH101" s="16"/>
      <c r="AI101" s="212">
        <f t="shared" si="32"/>
        <v>0</v>
      </c>
      <c r="AJ101" s="16"/>
      <c r="AK101" s="15">
        <f>SUM(AK70:AK100)</f>
        <v>2532390317</v>
      </c>
      <c r="AL101" s="15">
        <f>SUM(AL70:AL100)</f>
        <v>1993367453</v>
      </c>
      <c r="AM101" s="15">
        <f>SUM(AM70:AM100)</f>
        <v>539022864</v>
      </c>
      <c r="AN101" s="16"/>
      <c r="AO101" s="16"/>
      <c r="AP101" s="16"/>
      <c r="AQ101" s="16"/>
      <c r="AR101" s="16"/>
      <c r="AS101" s="16"/>
      <c r="AT101" s="16"/>
      <c r="AU101" s="16"/>
      <c r="AV101" s="16"/>
      <c r="AW101" s="16"/>
      <c r="AX101" s="16"/>
    </row>
    <row r="102" spans="1:50" s="17" customFormat="1" ht="44.25" customHeight="1" x14ac:dyDescent="0.25">
      <c r="A102" s="574" t="s">
        <v>281</v>
      </c>
      <c r="B102" s="541" t="s">
        <v>282</v>
      </c>
      <c r="C102" s="247" t="str">
        <f>Asignación!A97</f>
        <v>SB-PY1.1</v>
      </c>
      <c r="D102" s="258" t="str">
        <f>Asignación!B97</f>
        <v>Prestación servicio médico a estudiantes en las Sedes</v>
      </c>
      <c r="E102" s="255">
        <f>Asignación!C97</f>
        <v>301</v>
      </c>
      <c r="F102" s="248" t="s">
        <v>285</v>
      </c>
      <c r="G102" s="331">
        <f>'S. BIENESTAR'!G4</f>
        <v>1325</v>
      </c>
      <c r="H102" s="4" t="str">
        <f>'S. BIENESTAR'!H4</f>
        <v>SERVICIOS</v>
      </c>
      <c r="I102" s="5">
        <f>Asignación!K97</f>
        <v>95000000</v>
      </c>
      <c r="J102" s="5">
        <f>'S. BIENESTAR'!J4</f>
        <v>36808354</v>
      </c>
      <c r="K102" s="5">
        <f>I102-J102</f>
        <v>58191646</v>
      </c>
      <c r="L102" s="233">
        <f>'S. BIENESTAR'!L4</f>
        <v>8</v>
      </c>
      <c r="M102" s="271">
        <f>'S. BIENESTAR'!M4</f>
        <v>6.0377358490566035E-3</v>
      </c>
      <c r="N102" s="262">
        <f>'S. BIENESTAR'!N4</f>
        <v>114</v>
      </c>
      <c r="O102" s="271">
        <f>'S. BIENESTAR'!O4</f>
        <v>8.6037735849056607E-2</v>
      </c>
      <c r="P102" s="262">
        <f>'S. BIENESTAR'!P4</f>
        <v>305</v>
      </c>
      <c r="Q102" s="271">
        <f>'S. BIENESTAR'!Q4</f>
        <v>0.23018867924528302</v>
      </c>
      <c r="R102" s="262">
        <f>'S. BIENESTAR'!R4</f>
        <v>427</v>
      </c>
      <c r="S102" s="267">
        <f t="shared" ref="S102:S108" si="41">IFERROR((J102/I102),0)</f>
        <v>0.38745635789473687</v>
      </c>
      <c r="T102" s="267">
        <f t="shared" ref="T102:T107" si="42">IFERROR((M102+O102+Q102),0)</f>
        <v>0.32226415094339622</v>
      </c>
      <c r="U102" s="267">
        <f t="shared" si="40"/>
        <v>0.35486025441906655</v>
      </c>
      <c r="V102" s="237" t="str">
        <f>'S. BIENESTAR'!V4</f>
        <v>Para el año 2017 la estrategia de adoptar la problemática del consumo de SPA ha cambiado, se trabajará mas en prevención y se abordará el plan de tratamiento de forma integral.</v>
      </c>
      <c r="W102" s="5">
        <f>'S. BIENESTAR'!W4</f>
        <v>95000000</v>
      </c>
      <c r="X102" s="5">
        <f>'S. BIENESTAR'!X4</f>
        <v>39808354</v>
      </c>
      <c r="Y102" s="5">
        <f>W102-X102</f>
        <v>55191646</v>
      </c>
      <c r="Z102" s="31">
        <f>'S. BIENESTAR'!Z4</f>
        <v>217</v>
      </c>
      <c r="AA102" s="271">
        <f>'S. BIENESTAR'!AA4</f>
        <v>0.16377358490566038</v>
      </c>
      <c r="AB102" s="262">
        <f>'S. BIENESTAR'!AB4</f>
        <v>217</v>
      </c>
      <c r="AC102" s="271">
        <f>'S. BIENESTAR'!AC4</f>
        <v>0.16377358490566038</v>
      </c>
      <c r="AD102" s="262">
        <f>'S. BIENESTAR'!AD4</f>
        <v>49</v>
      </c>
      <c r="AE102" s="271">
        <f>'S. BIENESTAR'!AE4</f>
        <v>3.6981132075471698E-2</v>
      </c>
      <c r="AF102" s="262">
        <f>'S. BIENESTAR'!AF4</f>
        <v>483</v>
      </c>
      <c r="AG102" s="249">
        <f t="shared" ref="AG102:AG110" si="43">IFERROR((X102/W102),0)</f>
        <v>0.41903530526315791</v>
      </c>
      <c r="AH102" s="249">
        <f t="shared" ref="AH102:AH107" si="44">IFERROR((AA102+AC102+AE102),0)</f>
        <v>0.36452830188679247</v>
      </c>
      <c r="AI102" s="249">
        <f t="shared" si="32"/>
        <v>0.39178180357497516</v>
      </c>
      <c r="AJ102" s="97" t="str">
        <f>'S. BIENESTAR'!AJ4</f>
        <v>La Actividad de Consulta de Medicina General , los cuales no incluyen las consultas de examen de admisión ni las campañas de actividad de promoción y prevención. Información Según certificación adjunta .</v>
      </c>
      <c r="AK102" s="5">
        <f>'S. BIENESTAR'!AK4</f>
        <v>95000000</v>
      </c>
      <c r="AL102" s="5">
        <f>'S. BIENESTAR'!AL4</f>
        <v>57914038</v>
      </c>
      <c r="AM102" s="5">
        <f>'S. BIENESTAR'!AM4</f>
        <v>37085962</v>
      </c>
      <c r="AN102" s="332">
        <f>'S. BIENESTAR'!AN4</f>
        <v>6</v>
      </c>
      <c r="AO102" s="350">
        <f>'S. BIENESTAR'!AO4</f>
        <v>16.908064302164412</v>
      </c>
      <c r="AP102" s="332">
        <f>'S. BIENESTAR'!AP4</f>
        <v>168</v>
      </c>
      <c r="AQ102" s="350">
        <f>'S. BIENESTAR'!AQ4</f>
        <v>473.42580046060351</v>
      </c>
      <c r="AR102" s="332">
        <f>'S. BIENESTAR'!AR4</f>
        <v>288</v>
      </c>
      <c r="AS102" s="350">
        <f>'S. BIENESTAR'!AS4</f>
        <v>811.58708650389178</v>
      </c>
      <c r="AT102" s="332">
        <f>'S. BIENESTAR'!AT4</f>
        <v>462</v>
      </c>
      <c r="AU102" s="363">
        <f t="shared" ref="AU102:AU108" si="45">IFERROR((AL102/AK102),0)</f>
        <v>0.60962145263157896</v>
      </c>
      <c r="AV102" s="363">
        <f t="shared" ref="AV102:AV107" si="46">IFERROR((AO102+AQ102+AS102),0)</f>
        <v>1301.9209512666598</v>
      </c>
      <c r="AW102" s="363">
        <f t="shared" si="38"/>
        <v>651.26528635964564</v>
      </c>
      <c r="AX102" s="354" t="str">
        <f>'S. BIENESTAR'!AX4</f>
        <v>La Actividad de Consulta de Medicina General , los cuales no incluyen las consultas de examen de admisión ni las campañas de actividad de promoción y prevención. Información Según certificación adjunta .Registro estadistico SIBUSCO</v>
      </c>
    </row>
    <row r="103" spans="1:50" s="17" customFormat="1" ht="90" x14ac:dyDescent="0.25">
      <c r="A103" s="574"/>
      <c r="B103" s="542"/>
      <c r="C103" s="255" t="str">
        <f>Asignación!A98</f>
        <v>SB-PY1.2</v>
      </c>
      <c r="D103" s="258" t="str">
        <f>Asignación!B98</f>
        <v>Prestación servicio odontólogico a estudiantes en las Sedes</v>
      </c>
      <c r="E103" s="255">
        <f>Asignación!C98</f>
        <v>301</v>
      </c>
      <c r="F103" s="248" t="s">
        <v>285</v>
      </c>
      <c r="G103" s="331" t="s">
        <v>285</v>
      </c>
      <c r="H103" s="210">
        <v>877</v>
      </c>
      <c r="I103" s="5">
        <f>Asignación!K98</f>
        <v>70000000</v>
      </c>
      <c r="J103" s="5">
        <f>'S. BIENESTAR'!J5</f>
        <v>18573134</v>
      </c>
      <c r="K103" s="5">
        <f t="shared" ref="K103:K110" si="47">I103-J103</f>
        <v>51426866</v>
      </c>
      <c r="L103" s="262">
        <f>'S. BIENESTAR'!L5</f>
        <v>85</v>
      </c>
      <c r="M103" s="271">
        <f>'S. BIENESTAR'!M5</f>
        <v>9.6921322690992018E-2</v>
      </c>
      <c r="N103" s="262">
        <f>'S. BIENESTAR'!N5</f>
        <v>148</v>
      </c>
      <c r="O103" s="271">
        <f>'S. BIENESTAR'!O5</f>
        <v>0.16875712656784492</v>
      </c>
      <c r="P103" s="262">
        <f>'S. BIENESTAR'!P5</f>
        <v>127</v>
      </c>
      <c r="Q103" s="271">
        <f>'S. BIENESTAR'!Q5</f>
        <v>0.14481185860889395</v>
      </c>
      <c r="R103" s="262">
        <f>'S. BIENESTAR'!R5</f>
        <v>360</v>
      </c>
      <c r="S103" s="267">
        <f t="shared" si="41"/>
        <v>0.26533048571428569</v>
      </c>
      <c r="T103" s="267">
        <f t="shared" si="42"/>
        <v>0.41049030786773089</v>
      </c>
      <c r="U103" s="267">
        <f t="shared" si="40"/>
        <v>0.33791039679100832</v>
      </c>
      <c r="V103" s="268" t="str">
        <f>'S. BIENESTAR'!V5</f>
        <v>Profesional externa vinculada a través del contrato CPS-326-A2017, Cuyo objeto es prestar el servicio profesional de apoyo al programa de consumo de sustancias Psicoactivas y asesoria a estudiantes en programa de promoción y prevención en salud mental.</v>
      </c>
      <c r="W103" s="5">
        <f>'S. BIENESTAR'!W5</f>
        <v>70000000</v>
      </c>
      <c r="X103" s="5">
        <f>'S. BIENESTAR'!X5</f>
        <v>49541154</v>
      </c>
      <c r="Y103" s="5">
        <f t="shared" ref="Y103:Y105" si="48">W103-X103</f>
        <v>20458846</v>
      </c>
      <c r="Z103" s="262">
        <f>'S. BIENESTAR'!Z5</f>
        <v>85</v>
      </c>
      <c r="AA103" s="271">
        <f>'S. BIENESTAR'!AA5</f>
        <v>9.6921322690992018E-2</v>
      </c>
      <c r="AB103" s="262">
        <f>'S. BIENESTAR'!AB5</f>
        <v>148</v>
      </c>
      <c r="AC103" s="271">
        <f>'S. BIENESTAR'!AC5</f>
        <v>0.16875712656784492</v>
      </c>
      <c r="AD103" s="262">
        <f>'S. BIENESTAR'!AD5</f>
        <v>127</v>
      </c>
      <c r="AE103" s="271">
        <f>'S. BIENESTAR'!AE5</f>
        <v>0.14481185860889395</v>
      </c>
      <c r="AF103" s="262">
        <f>'S. BIENESTAR'!AF5</f>
        <v>360</v>
      </c>
      <c r="AG103" s="249">
        <f t="shared" si="43"/>
        <v>0.70773077142857144</v>
      </c>
      <c r="AH103" s="249">
        <f t="shared" si="44"/>
        <v>0.41049030786773089</v>
      </c>
      <c r="AI103" s="249">
        <f t="shared" si="32"/>
        <v>0.55911053964815116</v>
      </c>
      <c r="AJ103" s="268" t="str">
        <f>'S. BIENESTAR'!AJ5</f>
        <v>De acuerdo con los nuevos lineamientos los examenes de ingreso no son obligatorios a partir del 2017-1 por lo tanto se seguiran realizando consultas de diagnostico o determeninación de riesgo a los estudiantes que soliciten el servicio. Por lo que se vera reflejado en las actividades de atención</v>
      </c>
      <c r="AK103" s="5">
        <f>'S. BIENESTAR'!AK5</f>
        <v>70000000</v>
      </c>
      <c r="AL103" s="5">
        <f>'S. BIENESTAR'!AL5</f>
        <v>62935845</v>
      </c>
      <c r="AM103" s="5">
        <f>'S. BIENESTAR'!AM5</f>
        <v>7064155</v>
      </c>
      <c r="AN103" s="332">
        <f>'S. BIENESTAR'!AN5</f>
        <v>97</v>
      </c>
      <c r="AO103" s="350">
        <f>'S. BIENESTAR'!AO5</f>
        <v>287.0583471866147</v>
      </c>
      <c r="AP103" s="332">
        <f>'S. BIENESTAR'!AP5</f>
        <v>261</v>
      </c>
      <c r="AQ103" s="350">
        <f>'S. BIENESTAR'!AQ5</f>
        <v>772.39410944027259</v>
      </c>
      <c r="AR103" s="332">
        <f>'S. BIENESTAR'!AR5</f>
        <v>229</v>
      </c>
      <c r="AS103" s="350">
        <f>'S. BIENESTAR'!AS5</f>
        <v>677.69444851272954</v>
      </c>
      <c r="AT103" s="332">
        <f>'S. BIENESTAR'!AT5</f>
        <v>587</v>
      </c>
      <c r="AU103" s="363">
        <f t="shared" si="45"/>
        <v>0.89908350000000004</v>
      </c>
      <c r="AV103" s="363">
        <f t="shared" si="46"/>
        <v>1737.146905139617</v>
      </c>
      <c r="AW103" s="363">
        <f t="shared" si="38"/>
        <v>869.0229943198085</v>
      </c>
      <c r="AX103" s="354" t="str">
        <f>'S. BIENESTAR'!AX5</f>
        <v xml:space="preserve">Registro estadistico SIBUSCO- De acuerdo a los nuevos lineamientos, los examenes de ingreso no son obligatorios a partir del 21017-1 , por lo tnato se seguiran realizando consultas de diagnosticos y determinacion de riesgo  a los estudiantes de primer semestre que soliciten el servicio por lo que se ve reflejado en la atencion. </v>
      </c>
    </row>
    <row r="104" spans="1:50" s="17" customFormat="1" ht="195" x14ac:dyDescent="0.25">
      <c r="A104" s="574"/>
      <c r="B104" s="542"/>
      <c r="C104" s="255" t="str">
        <f>Asignación!A99</f>
        <v>SB-PY1.3</v>
      </c>
      <c r="D104" s="258" t="str">
        <f>Asignación!B99</f>
        <v>Prestación servicio Psicológico a estudiantes en las Sedes</v>
      </c>
      <c r="E104" s="255">
        <f>Asignación!C99</f>
        <v>301</v>
      </c>
      <c r="F104" s="248" t="s">
        <v>285</v>
      </c>
      <c r="G104" s="331" t="s">
        <v>285</v>
      </c>
      <c r="H104" s="210">
        <v>889</v>
      </c>
      <c r="I104" s="5">
        <f>Asignación!K99</f>
        <v>45000000</v>
      </c>
      <c r="J104" s="5">
        <f>'S. BIENESTAR'!J6</f>
        <v>24380000</v>
      </c>
      <c r="K104" s="5">
        <f t="shared" si="47"/>
        <v>20620000</v>
      </c>
      <c r="L104" s="262">
        <f>'S. BIENESTAR'!L6</f>
        <v>0</v>
      </c>
      <c r="M104" s="271">
        <f>'S. BIENESTAR'!M6</f>
        <v>0</v>
      </c>
      <c r="N104" s="262">
        <f>'S. BIENESTAR'!N6</f>
        <v>100</v>
      </c>
      <c r="O104" s="271">
        <f>'S. BIENESTAR'!O6</f>
        <v>0.1124859392575928</v>
      </c>
      <c r="P104" s="262">
        <f>'S. BIENESTAR'!P6</f>
        <v>245</v>
      </c>
      <c r="Q104" s="271">
        <f>'S. BIENESTAR'!Q6</f>
        <v>0.27559055118110237</v>
      </c>
      <c r="R104" s="262">
        <f>'S. BIENESTAR'!R6</f>
        <v>345</v>
      </c>
      <c r="S104" s="267">
        <f t="shared" si="41"/>
        <v>0.5417777777777778</v>
      </c>
      <c r="T104" s="267">
        <f t="shared" si="42"/>
        <v>0.38807649043869519</v>
      </c>
      <c r="U104" s="267">
        <f t="shared" si="40"/>
        <v>0.4649271341082365</v>
      </c>
      <c r="V104" s="600" t="str">
        <f>'S. BIENESTAR'!V6</f>
        <v>Los indicadores reportados durante los meses de Abril, Mayo y Junio de 2017, se alcanzaron durante la ejecución de las siguientes actividades, con los respectivos asistentes Abril: Dimensión Emocional (1285), Dimensión Alimentaria (220), Dimensión Clínica (31), Dimensión Física (191). Mayo: Dimensión Emocional (841), Dimensión Alimentaria (732), Dimensión Clínica (27) Dimensión Física (323), Jornadas (45) Investigación (102)</v>
      </c>
      <c r="W104" s="5">
        <f>'S. BIENESTAR'!W6</f>
        <v>45000000</v>
      </c>
      <c r="X104" s="5">
        <f>'S. BIENESTAR'!X6</f>
        <v>30126510</v>
      </c>
      <c r="Y104" s="5">
        <f t="shared" si="48"/>
        <v>14873490</v>
      </c>
      <c r="Z104" s="262">
        <f>'S. BIENESTAR'!Z6</f>
        <v>164</v>
      </c>
      <c r="AA104" s="271">
        <f>'S. BIENESTAR'!AA6</f>
        <v>0.18447694038245219</v>
      </c>
      <c r="AB104" s="262">
        <f>'S. BIENESTAR'!AB6</f>
        <v>254</v>
      </c>
      <c r="AC104" s="271">
        <f>'S. BIENESTAR'!AC6</f>
        <v>0.2857142857142857</v>
      </c>
      <c r="AD104" s="262">
        <f>'S. BIENESTAR'!AD6</f>
        <v>88</v>
      </c>
      <c r="AE104" s="271">
        <f>'S. BIENESTAR'!AE6</f>
        <v>9.8987626546681667E-2</v>
      </c>
      <c r="AF104" s="262">
        <f>'S. BIENESTAR'!AF6</f>
        <v>506</v>
      </c>
      <c r="AG104" s="249">
        <f t="shared" si="43"/>
        <v>0.66947800000000002</v>
      </c>
      <c r="AH104" s="249">
        <f t="shared" si="44"/>
        <v>0.56917885264341961</v>
      </c>
      <c r="AI104" s="249">
        <f t="shared" si="32"/>
        <v>0.61932842632170981</v>
      </c>
      <c r="AJ104" s="268" t="str">
        <f>'S. BIENESTAR'!AJ6</f>
        <v xml:space="preserve">Se aumentó las solicitudes de citas, siendo importante las remisiones de alertas tempranas para así mismo darle seguimiento a las dificultades presentadas por los estudiantes.Dentro de las actividades adelantas desde el servicio de psicología, se desarrollaron 4 para el semestre, estas son   propuestas desde las necesidades reportadas institucionalmente por las principales impresiones diagnosticas identificadas por el servicio de Psicología de la Universidad. 
Estas campañas son: Prevención del Bullying, Equidad de Género, Prevención del Consumo de SPA, Promoción de la Salud Mental (Felicidad Vs Depresión) y Prevención de Sexualidad de Alto Riesgo (VIH).
</v>
      </c>
      <c r="AK104" s="5">
        <f>'S. BIENESTAR'!AK6</f>
        <v>45000000</v>
      </c>
      <c r="AL104" s="5">
        <f>'S. BIENESTAR'!AL6</f>
        <v>72070749</v>
      </c>
      <c r="AM104" s="5">
        <f>'S. BIENESTAR'!AM6</f>
        <v>-27070749</v>
      </c>
      <c r="AN104" s="332">
        <f>'S. BIENESTAR'!AN6</f>
        <v>0</v>
      </c>
      <c r="AO104" s="350">
        <f>'S. BIENESTAR'!AO6</f>
        <v>0</v>
      </c>
      <c r="AP104" s="332">
        <f>'S. BIENESTAR'!AP6</f>
        <v>110</v>
      </c>
      <c r="AQ104" s="350">
        <f>'S. BIENESTAR'!AQ6</f>
        <v>236.59621461110862</v>
      </c>
      <c r="AR104" s="332">
        <f>'S. BIENESTAR'!AR6</f>
        <v>193</v>
      </c>
      <c r="AS104" s="350">
        <f>'S. BIENESTAR'!AS6</f>
        <v>415.1188129085815</v>
      </c>
      <c r="AT104" s="332">
        <f>'S. BIENESTAR'!AT6</f>
        <v>303</v>
      </c>
      <c r="AU104" s="363">
        <f t="shared" si="45"/>
        <v>1.6015721999999999</v>
      </c>
      <c r="AV104" s="363">
        <f t="shared" si="46"/>
        <v>651.71502751969012</v>
      </c>
      <c r="AW104" s="363">
        <f t="shared" si="38"/>
        <v>326.65829985984504</v>
      </c>
      <c r="AX104" s="354" t="str">
        <f>'S. BIENESTAR'!AX6</f>
        <v>Registro estadistico SIBUSCO</v>
      </c>
    </row>
    <row r="105" spans="1:50" ht="30" x14ac:dyDescent="0.25">
      <c r="A105" s="574"/>
      <c r="B105" s="542"/>
      <c r="C105" s="255" t="str">
        <f>Asignación!A100</f>
        <v>SB-PY1.4</v>
      </c>
      <c r="D105" s="258" t="str">
        <f>Asignación!B100</f>
        <v>Apoyo a actividades de clima organizacional, docentes, estudiantes y administrativos en las Sedes.</v>
      </c>
      <c r="E105" s="255">
        <f>Asignación!C100</f>
        <v>301</v>
      </c>
      <c r="F105" s="43" t="s">
        <v>293</v>
      </c>
      <c r="G105" s="331" t="s">
        <v>293</v>
      </c>
      <c r="H105" s="36"/>
      <c r="I105" s="5">
        <f>Asignación!K100</f>
        <v>2000000</v>
      </c>
      <c r="J105" s="5">
        <f>'S. BIENESTAR'!J7</f>
        <v>0</v>
      </c>
      <c r="K105" s="5">
        <f t="shared" si="47"/>
        <v>2000000</v>
      </c>
      <c r="L105" s="262">
        <f>'S. BIENESTAR'!L7</f>
        <v>0</v>
      </c>
      <c r="M105" s="271">
        <f>'S. BIENESTAR'!M7</f>
        <v>0</v>
      </c>
      <c r="N105" s="262">
        <f>'S. BIENESTAR'!N7</f>
        <v>0</v>
      </c>
      <c r="O105" s="271">
        <f>'S. BIENESTAR'!O7</f>
        <v>0</v>
      </c>
      <c r="P105" s="262">
        <f>'S. BIENESTAR'!P7</f>
        <v>0</v>
      </c>
      <c r="Q105" s="271">
        <f>'S. BIENESTAR'!Q7</f>
        <v>0</v>
      </c>
      <c r="R105" s="262">
        <f>'S. BIENESTAR'!R7</f>
        <v>0</v>
      </c>
      <c r="S105" s="267">
        <f t="shared" si="41"/>
        <v>0</v>
      </c>
      <c r="T105" s="267">
        <f t="shared" si="42"/>
        <v>0</v>
      </c>
      <c r="U105" s="267">
        <f t="shared" si="40"/>
        <v>0</v>
      </c>
      <c r="V105" s="601"/>
      <c r="W105" s="5">
        <f>'S. BIENESTAR'!W7</f>
        <v>8991754</v>
      </c>
      <c r="X105" s="5">
        <f>'S. BIENESTAR'!X7</f>
        <v>2000000</v>
      </c>
      <c r="Y105" s="5">
        <f t="shared" si="48"/>
        <v>6991754</v>
      </c>
      <c r="Z105" s="31">
        <f>'S. BIENESTAR'!Z7</f>
        <v>0</v>
      </c>
      <c r="AA105" s="271">
        <f>'S. BIENESTAR'!AA7</f>
        <v>0</v>
      </c>
      <c r="AB105" s="262">
        <f>'S. BIENESTAR'!AB7</f>
        <v>0</v>
      </c>
      <c r="AC105" s="271">
        <f>'S. BIENESTAR'!AC7</f>
        <v>0</v>
      </c>
      <c r="AD105" s="262">
        <f>'S. BIENESTAR'!AD7</f>
        <v>0</v>
      </c>
      <c r="AE105" s="271">
        <f>'S. BIENESTAR'!AE7</f>
        <v>0</v>
      </c>
      <c r="AF105" s="262">
        <f>'S. BIENESTAR'!AF7</f>
        <v>0</v>
      </c>
      <c r="AG105" s="249">
        <f t="shared" si="43"/>
        <v>0.22242601387893843</v>
      </c>
      <c r="AH105" s="249">
        <f t="shared" si="44"/>
        <v>0</v>
      </c>
      <c r="AI105" s="249">
        <f t="shared" si="32"/>
        <v>0.11121300693946921</v>
      </c>
      <c r="AJ105" s="268" t="str">
        <f>'S. BIENESTAR'!AJ7</f>
        <v>Recurso asignado a las Facultades ´para Clima Organizacional y cuya ejecución y responsables corresponden a las mismas.</v>
      </c>
      <c r="AK105" s="5">
        <f>'S. BIENESTAR'!AK7</f>
        <v>8991754</v>
      </c>
      <c r="AL105" s="5">
        <f>'S. BIENESTAR'!AL7</f>
        <v>2000000</v>
      </c>
      <c r="AM105" s="5">
        <f>'S. BIENESTAR'!AM7</f>
        <v>6991754</v>
      </c>
      <c r="AN105" s="332">
        <f>'S. BIENESTAR'!AN7</f>
        <v>0</v>
      </c>
      <c r="AO105" s="350">
        <f>'S. BIENESTAR'!AO7</f>
        <v>0</v>
      </c>
      <c r="AP105" s="332">
        <f>'S. BIENESTAR'!AP7</f>
        <v>0</v>
      </c>
      <c r="AQ105" s="350">
        <f>'S. BIENESTAR'!AQ7</f>
        <v>0</v>
      </c>
      <c r="AR105" s="332">
        <f>'S. BIENESTAR'!AR7</f>
        <v>0</v>
      </c>
      <c r="AS105" s="350">
        <f>'S. BIENESTAR'!AS7</f>
        <v>0</v>
      </c>
      <c r="AT105" s="332">
        <f>'S. BIENESTAR'!AT7</f>
        <v>0</v>
      </c>
      <c r="AU105" s="363">
        <f t="shared" si="45"/>
        <v>0.22242601387893843</v>
      </c>
      <c r="AV105" s="363">
        <f t="shared" si="46"/>
        <v>0</v>
      </c>
      <c r="AW105" s="363">
        <f t="shared" si="38"/>
        <v>0.11121300693946921</v>
      </c>
      <c r="AX105" s="354" t="str">
        <f>'S. BIENESTAR'!AX7</f>
        <v>Recurso asignado a las Facultades ´para Clima Organizacional y cuya ejecución y responsables corresponden a las mismas.</v>
      </c>
    </row>
    <row r="106" spans="1:50" ht="120" x14ac:dyDescent="0.25">
      <c r="A106" s="574"/>
      <c r="B106" s="542"/>
      <c r="C106" s="255" t="str">
        <f>Asignación!A101</f>
        <v>SB-PY1.5</v>
      </c>
      <c r="D106" s="258" t="str">
        <f>Asignación!B101</f>
        <v>Atención apersonas en drogadicción, prostitución y E.T.V.  en las Sedes.</v>
      </c>
      <c r="E106" s="255">
        <f>Asignación!C101</f>
        <v>301</v>
      </c>
      <c r="F106" s="248" t="s">
        <v>285</v>
      </c>
      <c r="G106" s="331"/>
      <c r="H106" s="44"/>
      <c r="I106" s="5">
        <f>Asignación!K101</f>
        <v>35000000</v>
      </c>
      <c r="J106" s="5">
        <f>'S. BIENESTAR'!J8</f>
        <v>19972848</v>
      </c>
      <c r="K106" s="5">
        <f t="shared" si="47"/>
        <v>15027152</v>
      </c>
      <c r="L106" s="233">
        <f>'S. BIENESTAR'!L8+'S. BIENESTAR'!L9</f>
        <v>0</v>
      </c>
      <c r="M106" s="271">
        <f>'S. BIENESTAR'!M8+'S. BIENESTAR'!M9</f>
        <v>0</v>
      </c>
      <c r="N106" s="262">
        <f>'S. BIENESTAR'!N8+'S. BIENESTAR'!N9</f>
        <v>174</v>
      </c>
      <c r="O106" s="271">
        <f>'S. BIENESTAR'!O8+'S. BIENESTAR'!O9</f>
        <v>0.13384615384615384</v>
      </c>
      <c r="P106" s="262">
        <f>'S. BIENESTAR'!P8+'S. BIENESTAR'!P9</f>
        <v>482</v>
      </c>
      <c r="Q106" s="271">
        <f>'S. BIENESTAR'!Q8+'S. BIENESTAR'!Q9</f>
        <v>0.37353846153846154</v>
      </c>
      <c r="R106" s="262">
        <f>'S. BIENESTAR'!R8+'S. BIENESTAR'!R9</f>
        <v>656</v>
      </c>
      <c r="S106" s="267">
        <f t="shared" si="41"/>
        <v>0.57065279999999996</v>
      </c>
      <c r="T106" s="267">
        <f t="shared" si="42"/>
        <v>0.50738461538461532</v>
      </c>
      <c r="U106" s="267">
        <f t="shared" si="40"/>
        <v>0.53901870769230764</v>
      </c>
      <c r="V106" s="268" t="str">
        <f>CONCATENATE('S. BIENESTAR'!V8," ",'S. BIENESTAR'!V9)</f>
        <v>Programación mensual , no se  han establecido la linea base y meta resultado 2017 porque  se realizando el empadronamiento censal  a los estudiantes para identificar la poblaión con diversidad funcional, en donde se hace un acercamiento a cada estudiante en condición de discapacidad física para recolectar la información requerida en el registro de  "localización y  caracterización de personas con discapacidad. Impartido en el Pirmer Trimestre del Semestre 2017-1</v>
      </c>
      <c r="W106" s="5">
        <f>'S. BIENESTAR'!I8</f>
        <v>35000000</v>
      </c>
      <c r="X106" s="5">
        <f>'S. BIENESTAR'!X8</f>
        <v>19972848</v>
      </c>
      <c r="Y106" s="5">
        <f>W106-X106</f>
        <v>15027152</v>
      </c>
      <c r="Z106" s="31">
        <f>'S. BIENESTAR'!Z8+'S. BIENESTAR'!Z9</f>
        <v>359</v>
      </c>
      <c r="AA106" s="271">
        <f>'S. BIENESTAR'!AA8+'S. BIENESTAR'!AA9</f>
        <v>0.2793846153846154</v>
      </c>
      <c r="AB106" s="262">
        <f>'S. BIENESTAR'!AB8+'S. BIENESTAR'!AB9</f>
        <v>281</v>
      </c>
      <c r="AC106" s="271">
        <f>'S. BIENESTAR'!AC8+'S. BIENESTAR'!AC9</f>
        <v>0.21892307692307694</v>
      </c>
      <c r="AD106" s="262">
        <f>'S. BIENESTAR'!AD8+'S. BIENESTAR'!AD9</f>
        <v>642</v>
      </c>
      <c r="AE106" s="271">
        <f>'S. BIENESTAR'!AE8+'S. BIENESTAR'!AE9</f>
        <v>0.49569230769230771</v>
      </c>
      <c r="AF106" s="262">
        <f>'S. BIENESTAR'!AF8+'S. BIENESTAR'!AF9</f>
        <v>1282</v>
      </c>
      <c r="AG106" s="249">
        <f t="shared" si="43"/>
        <v>0.57065279999999996</v>
      </c>
      <c r="AH106" s="249">
        <f t="shared" si="44"/>
        <v>0.99399999999999999</v>
      </c>
      <c r="AI106" s="249">
        <f t="shared" si="32"/>
        <v>0.78232639999999998</v>
      </c>
      <c r="AJ106" s="97" t="str">
        <f>CONCATENATE('S. BIENESTAR'!AJ8," ",'S. BIENESTAR'!AJ9)</f>
        <v>Para el año 2017 la estrategia de adoptar la problemática del consumo de SPA ha cambiado, se trabajará mas en prevención y se abordará el plan de tratamiento de forma integral. Profesional externa vinculada a través del contrato CPS-326-A2017, Cuyo objeto es prestar el servicio profesional de apoyo al programa de consumo de sustancias Psicoactivas y asesoria a estudiantes en programa de promoción y prevención en salud mental.</v>
      </c>
      <c r="AK106" s="5">
        <f>'S. BIENESTAR'!W8</f>
        <v>35000000</v>
      </c>
      <c r="AL106" s="5">
        <f>'S. BIENESTAR'!AL8</f>
        <v>30781315</v>
      </c>
      <c r="AM106" s="5">
        <f>'S. BIENESTAR'!AM8</f>
        <v>4218685</v>
      </c>
      <c r="AN106" s="332">
        <f>'S. BIENESTAR'!AN8+'S. BIENESTAR'!AN9</f>
        <v>0</v>
      </c>
      <c r="AO106" s="350" t="e">
        <f>'S. BIENESTAR'!AO8+'S. BIENESTAR'!AO9</f>
        <v>#VALUE!</v>
      </c>
      <c r="AP106" s="332">
        <f>'S. BIENESTAR'!AP8+'S. BIENESTAR'!AP9</f>
        <v>67</v>
      </c>
      <c r="AQ106" s="350">
        <f>'S. BIENESTAR'!AQ8+'S. BIENESTAR'!AQ9</f>
        <v>97.557551450929026</v>
      </c>
      <c r="AR106" s="332">
        <f>'S. BIENESTAR'!AR8+'S. BIENESTAR'!AR9</f>
        <v>104</v>
      </c>
      <c r="AS106" s="350">
        <f>'S. BIENESTAR'!AS8+'S. BIENESTAR'!AS9</f>
        <v>161.34518124576724</v>
      </c>
      <c r="AT106" s="332">
        <f>'S. BIENESTAR'!AT8+'S. BIENESTAR'!AT9</f>
        <v>171</v>
      </c>
      <c r="AU106" s="363">
        <f t="shared" si="45"/>
        <v>0.87946614285714286</v>
      </c>
      <c r="AV106" s="363">
        <f t="shared" si="46"/>
        <v>0</v>
      </c>
      <c r="AW106" s="363">
        <f t="shared" si="38"/>
        <v>0.43973307142857143</v>
      </c>
      <c r="AX106" s="354" t="str">
        <f>CONCATENATE('S. BIENESTAR'!AX8," ",'S. BIENESTAR'!AX9)</f>
        <v>Planillas de asistencia, registro fotografico, se logra crear el comité de conviviencia de la plaza Jaime Garzón donde se adelantan activiades que se centran en las buenas practicas con el objetivo de menguar la practica del consumo.  Profesional externa vinculada a través del contrato CPS-326-A2017, Cuyo objeto es prestar el servicio profesional de apoyo al programa de consumo de sustancias Psicoactivas y asesoria a estudiantes en programa de promoción y prevención en salud mental.</v>
      </c>
    </row>
    <row r="107" spans="1:50" ht="93" customHeight="1" x14ac:dyDescent="0.25">
      <c r="A107" s="574"/>
      <c r="B107" s="542"/>
      <c r="C107" s="255" t="str">
        <f>Asignación!A102</f>
        <v>SB-PY1.6</v>
      </c>
      <c r="D107" s="258" t="str">
        <f>Asignación!B102</f>
        <v>USCO saludable.</v>
      </c>
      <c r="E107" s="255">
        <f>Asignación!C102</f>
        <v>301</v>
      </c>
      <c r="F107" s="248" t="s">
        <v>186</v>
      </c>
      <c r="G107" s="331"/>
      <c r="H107" s="4"/>
      <c r="I107" s="5">
        <f>Asignación!K102</f>
        <v>140000000</v>
      </c>
      <c r="J107" s="5">
        <f>'S. BIENESTAR'!J10</f>
        <v>55078525</v>
      </c>
      <c r="K107" s="5">
        <f t="shared" si="47"/>
        <v>84921475</v>
      </c>
      <c r="L107" s="54">
        <f>'S. BIENESTAR'!L10+'S. BIENESTAR'!L11</f>
        <v>0</v>
      </c>
      <c r="M107" s="271">
        <f>'S. BIENESTAR'!M10+'S. BIENESTAR'!M11</f>
        <v>0</v>
      </c>
      <c r="N107" s="54">
        <f>'S. BIENESTAR'!N10+'S. BIENESTAR'!N11</f>
        <v>1622</v>
      </c>
      <c r="O107" s="271">
        <f>'S. BIENESTAR'!O10+'S. BIENESTAR'!O11</f>
        <v>0.38852211434735706</v>
      </c>
      <c r="P107" s="54">
        <f>'S. BIENESTAR'!P10+'S. BIENESTAR'!P11</f>
        <v>1752</v>
      </c>
      <c r="Q107" s="271">
        <f>'S. BIENESTAR'!Q10+'S. BIENESTAR'!Q11</f>
        <v>0.47654800431499461</v>
      </c>
      <c r="R107" s="54">
        <f>'S. BIENESTAR'!R10+'S. BIENESTAR'!R11</f>
        <v>3374</v>
      </c>
      <c r="S107" s="267">
        <f t="shared" si="41"/>
        <v>0.39341803571428574</v>
      </c>
      <c r="T107" s="267">
        <f t="shared" si="42"/>
        <v>0.86507011866235173</v>
      </c>
      <c r="U107" s="267">
        <f t="shared" si="40"/>
        <v>0.62924407718831876</v>
      </c>
      <c r="V107" s="237" t="str">
        <f>CONCATENATE('S. BIENESTAR'!V10," ",'S. BIENESTAR'!V11)</f>
        <v>Los acompañamiento hace referencia al número de encuentros con los estudiantes en condición de discapacidad. Medición mensual, son talleres de sensibilización dirigidos a estudiantes de 1 semestre, la inducción y reinducción a Docentes, Administrativos y contratistas</v>
      </c>
      <c r="W107" s="5">
        <f>'S. BIENESTAR'!I10</f>
        <v>140000000</v>
      </c>
      <c r="X107" s="5">
        <f>'S. BIENESTAR'!X10</f>
        <v>129922145</v>
      </c>
      <c r="Y107" s="5">
        <f>W107-X107</f>
        <v>10077855</v>
      </c>
      <c r="Z107" s="54">
        <f>'S. BIENESTAR'!Z10+'S. BIENESTAR'!Z11</f>
        <v>1837</v>
      </c>
      <c r="AA107" s="271">
        <f>'S. BIENESTAR'!AA10+'S. BIENESTAR'!AA11</f>
        <v>0.43074433656957928</v>
      </c>
      <c r="AB107" s="54">
        <f>'S. BIENESTAR'!AB10+'S. BIENESTAR'!AB11</f>
        <v>2188</v>
      </c>
      <c r="AC107" s="271">
        <f>'S. BIENESTAR'!AC10+'S. BIENESTAR'!AC11</f>
        <v>0.48552319309600867</v>
      </c>
      <c r="AD107" s="54">
        <f>'S. BIENESTAR'!AD10+'S. BIENESTAR'!AD11</f>
        <v>0</v>
      </c>
      <c r="AE107" s="271">
        <f>'S. BIENESTAR'!AE10+'S. BIENESTAR'!AE11</f>
        <v>0</v>
      </c>
      <c r="AF107" s="54">
        <f>'S. BIENESTAR'!AF10+'S. BIENESTAR'!AF11</f>
        <v>4025</v>
      </c>
      <c r="AG107" s="249">
        <f t="shared" si="43"/>
        <v>0.92801532142857146</v>
      </c>
      <c r="AH107" s="249">
        <f t="shared" si="44"/>
        <v>0.916267529665588</v>
      </c>
      <c r="AI107" s="249">
        <f t="shared" si="32"/>
        <v>0.92214142554707967</v>
      </c>
      <c r="AJ107" s="97" t="str">
        <f>CONCATENATE('S. BIENESTAR'!AJ10," ",'S. BIENESTAR'!AJ11)</f>
        <v xml:space="preserve">Los indicadores reportados durante los meses de Abril, Mayo y Junio de 2017, se alcanzaron durante la ejecución de las siguientes actividades, con los respectivos asistentes Abril: Dimensión Emocional (1285), Dimensión Alimentaria (220), Dimensión Clínica (31), Dimensión Física (191). Mayo: Dimensión Emocional (841), Dimensión Alimentaria (732), Dimensión Clínica (27) Dimensión Física (323), Jornadas (45) Investigación (102) </v>
      </c>
      <c r="AK107" s="5">
        <f>'S. BIENESTAR'!W10</f>
        <v>140000000</v>
      </c>
      <c r="AL107" s="5">
        <f>'S. BIENESTAR'!AL10</f>
        <v>177951220</v>
      </c>
      <c r="AM107" s="5">
        <f>'S. BIENESTAR'!AM10</f>
        <v>-37951220</v>
      </c>
      <c r="AN107" s="54">
        <f>'S. BIENESTAR'!AN10+'S. BIENESTAR'!AN11</f>
        <v>0</v>
      </c>
      <c r="AO107" s="350">
        <f>'S. BIENESTAR'!AO10+'S. BIENESTAR'!AO11</f>
        <v>0</v>
      </c>
      <c r="AP107" s="54">
        <f>'S. BIENESTAR'!AP10+'S. BIENESTAR'!AP11</f>
        <v>1336</v>
      </c>
      <c r="AQ107" s="350">
        <f>'S. BIENESTAR'!AQ10+'S. BIENESTAR'!AQ11</f>
        <v>7432.587899007267</v>
      </c>
      <c r="AR107" s="54">
        <f>'S. BIENESTAR'!AR10+'S. BIENESTAR'!AR11</f>
        <v>1880</v>
      </c>
      <c r="AS107" s="350">
        <f>'S. BIENESTAR'!AS10+'S. BIENESTAR'!AS11</f>
        <v>10587.902849152188</v>
      </c>
      <c r="AT107" s="54">
        <f>'S. BIENESTAR'!AT10+'S. BIENESTAR'!AT11</f>
        <v>3216</v>
      </c>
      <c r="AU107" s="363">
        <f t="shared" si="45"/>
        <v>1.2710801428571428</v>
      </c>
      <c r="AV107" s="363">
        <f t="shared" si="46"/>
        <v>18020.490748159456</v>
      </c>
      <c r="AW107" s="363">
        <f t="shared" si="38"/>
        <v>9010.8809141511574</v>
      </c>
      <c r="AX107" s="354" t="str">
        <f>CONCATENATE('S. BIENESTAR'!AX10," ",'S. BIENESTAR'!AX11)</f>
        <v xml:space="preserve">los indicadores reportados durante los meses de julio, Agosto, Septiembre, se alcanzaron durante la ejecucion de las siguientes actividades, con los respetivos asistentes: Agosto dimension emocional (886), Dimension alimentaria (180), dimension Clinica (75), Dimision Fisica (71).   Septiembre: Dimension Emocional (1204), Dimension alimentaria (85), Dimension Fsisica (209) y jornadas (242) </v>
      </c>
    </row>
    <row r="108" spans="1:50" ht="124.5" customHeight="1" x14ac:dyDescent="0.25">
      <c r="A108" s="574"/>
      <c r="B108" s="542"/>
      <c r="C108" s="255" t="str">
        <f>Asignación!A103</f>
        <v>SB-PY1.7</v>
      </c>
      <c r="D108" s="258" t="str">
        <f>Asignación!B103</f>
        <v>Proyecto de Inclusión y atención de la población con diversidad funcional en la USCO.</v>
      </c>
      <c r="E108" s="255">
        <f>Asignación!C103</f>
        <v>301</v>
      </c>
      <c r="F108" s="248" t="s">
        <v>285</v>
      </c>
      <c r="G108" s="46"/>
      <c r="H108" s="44"/>
      <c r="I108" s="5">
        <f>Asignación!K103</f>
        <v>29955000</v>
      </c>
      <c r="J108" s="5">
        <f>'S. BIENESTAR'!J12</f>
        <v>21034396</v>
      </c>
      <c r="K108" s="5">
        <f t="shared" si="47"/>
        <v>8920604</v>
      </c>
      <c r="L108" s="233">
        <f>'S. BIENESTAR'!L12+'S. BIENESTAR'!L13+'S. BIENESTAR'!L14+'S. BIENESTAR'!L15</f>
        <v>0</v>
      </c>
      <c r="M108" s="271">
        <f>'S. BIENESTAR'!M12+'S. BIENESTAR'!M13+'S. BIENESTAR'!M14+'S. BIENESTAR'!M15</f>
        <v>0</v>
      </c>
      <c r="N108" s="262">
        <f>'S. BIENESTAR'!N12+'S. BIENESTAR'!N13+'S. BIENESTAR'!N14+'S. BIENESTAR'!N15</f>
        <v>39</v>
      </c>
      <c r="O108" s="271">
        <f>'S. BIENESTAR'!O12+'S. BIENESTAR'!O13+'S. BIENESTAR'!O14+'S. BIENESTAR'!O15</f>
        <v>1.0333333333333332</v>
      </c>
      <c r="P108" s="262">
        <f>'S. BIENESTAR'!P12+'S. BIENESTAR'!P13+'S. BIENESTAR'!P14+'S. BIENESTAR'!P15</f>
        <v>21</v>
      </c>
      <c r="Q108" s="271">
        <f>'S. BIENESTAR'!Q12+'S. BIENESTAR'!Q13+'S. BIENESTAR'!Q14+'S. BIENESTAR'!Q15</f>
        <v>0.54666666666666663</v>
      </c>
      <c r="R108" s="262">
        <f>'S. BIENESTAR'!R12+'S. BIENESTAR'!R13+'S. BIENESTAR'!R14+'S. BIENESTAR'!R15</f>
        <v>60</v>
      </c>
      <c r="S108" s="267">
        <f t="shared" si="41"/>
        <v>0.70219983308295775</v>
      </c>
      <c r="T108" s="267">
        <f>M108+O108+Q108</f>
        <v>1.5799999999999998</v>
      </c>
      <c r="U108" s="267">
        <f t="shared" si="40"/>
        <v>1.1410999165414788</v>
      </c>
      <c r="V108" s="237" t="str">
        <f>CONCATENATE('S. BIENESTAR'!V12," ",'S. BIENESTAR'!V15)</f>
        <v>Programación mensual , no se  han establecido la linea base y meta resultado 2017 porque  se realizando el empadronamiento censal  a los estudiantes para identificar la poblaión con diversidad funcional, en donde se hace un acercamiento a cada estudiante en condición de discapacidad física para recolectar la información requerida en el registro de  "localización y  caracterización de personas con discapacidad. Medición mensual, son talleres de sensibilización dirigidos a estudiantes de 1 semestre, la inducción y reinducción a Docentes, Administrativos y contratistas</v>
      </c>
      <c r="W108" s="5">
        <f>'S. BIENESTAR'!I12</f>
        <v>29955000</v>
      </c>
      <c r="X108" s="5">
        <f>'S. BIENESTAR'!X12</f>
        <v>21034396</v>
      </c>
      <c r="Y108" s="5">
        <f>W108-X108</f>
        <v>8920604</v>
      </c>
      <c r="Z108" s="31">
        <f>'S. BIENESTAR'!Z12+'S. BIENESTAR'!Z13+'S. BIENESTAR'!Z14+'S. BIENESTAR'!Z15</f>
        <v>16</v>
      </c>
      <c r="AA108" s="271">
        <f>'S. BIENESTAR'!AA12+'S. BIENESTAR'!AA13+'S. BIENESTAR'!AA14+'S. BIENESTAR'!AA15</f>
        <v>0.44666666666666666</v>
      </c>
      <c r="AB108" s="262">
        <f>'S. BIENESTAR'!AB12+'S. BIENESTAR'!AB13+'S. BIENESTAR'!AB14+'S. BIENESTAR'!AB15</f>
        <v>13</v>
      </c>
      <c r="AC108" s="271">
        <f>'S. BIENESTAR'!AC12+'S. BIENESTAR'!AC13+'S. BIENESTAR'!AC14+'S. BIENESTAR'!AC15</f>
        <v>0.45</v>
      </c>
      <c r="AD108" s="262">
        <f>'S. BIENESTAR'!AD12+'S. BIENESTAR'!AD13+'S. BIENESTAR'!AD14+'S. BIENESTAR'!AD15</f>
        <v>0</v>
      </c>
      <c r="AE108" s="271">
        <f>'S. BIENESTAR'!AE12+'S. BIENESTAR'!AE13+'S. BIENESTAR'!AE14+'S. BIENESTAR'!AE15</f>
        <v>0</v>
      </c>
      <c r="AF108" s="262">
        <f>'S. BIENESTAR'!AF12+'S. BIENESTAR'!AF13+'S. BIENESTAR'!AF14+'S. BIENESTAR'!AF15</f>
        <v>29</v>
      </c>
      <c r="AG108" s="249">
        <f t="shared" si="43"/>
        <v>0.70219983308295775</v>
      </c>
      <c r="AH108" s="249">
        <f>AA108+AC108+AE108</f>
        <v>0.89666666666666672</v>
      </c>
      <c r="AI108" s="249">
        <f t="shared" si="32"/>
        <v>0.79943324987481224</v>
      </c>
      <c r="AJ108" s="268" t="str">
        <f>CONCATENATE('S. BIENESTAR'!AJ12," ",'S. BIENESTAR'!AJ15)</f>
        <v>Programación mensual , no se  han establecido la linea base y meta resultado 2017 porque  se realizando el empadronamiento censal  a los estudiantes para identificar la poblaión con diversidad funcional, en donde se hace un acercamiento a cada estudiante en condición de discapacidad física para recolectar la información requerida en el registro de  "localización y  caracterización de personas con discapacidad. Medición mensual, son talleres de sensibilización dirigidos a estudiantes de 1 semestre, la inducción y reinducción a Docentes, Administrativos y contratistas</v>
      </c>
      <c r="AK108" s="5">
        <f>'S. BIENESTAR'!W12</f>
        <v>29955000</v>
      </c>
      <c r="AL108" s="5">
        <f>'S. BIENESTAR'!AL12</f>
        <v>29452544</v>
      </c>
      <c r="AM108" s="5">
        <f>'S. BIENESTAR'!AM12</f>
        <v>502456</v>
      </c>
      <c r="AN108" s="332">
        <f>'S. BIENESTAR'!AN12+'S. BIENESTAR'!AN13+'S. BIENESTAR'!AN14+'S. BIENESTAR'!AN15</f>
        <v>0</v>
      </c>
      <c r="AO108" s="350">
        <f>'S. BIENESTAR'!AO12+'S. BIENESTAR'!AO13+'S. BIENESTAR'!AO14+'S. BIENESTAR'!AO15</f>
        <v>0</v>
      </c>
      <c r="AP108" s="332">
        <f>'S. BIENESTAR'!AP12+'S. BIENESTAR'!AP13+'S. BIENESTAR'!AP14+'S. BIENESTAR'!AP15</f>
        <v>15</v>
      </c>
      <c r="AQ108" s="350">
        <f>'S. BIENESTAR'!AQ12+'S. BIENESTAR'!AQ13+'S. BIENESTAR'!AQ14+'S. BIENESTAR'!AQ15</f>
        <v>132.56315327667463</v>
      </c>
      <c r="AR108" s="332">
        <f>'S. BIENESTAR'!AR12+'S. BIENESTAR'!AR13+'S. BIENESTAR'!AR14+'S. BIENESTAR'!AR15</f>
        <v>15</v>
      </c>
      <c r="AS108" s="350">
        <f>'S. BIENESTAR'!AS12+'S. BIENESTAR'!AS13+'S. BIENESTAR'!AS14+'S. BIENESTAR'!AS15</f>
        <v>145</v>
      </c>
      <c r="AT108" s="332">
        <f>'S. BIENESTAR'!AT12+'S. BIENESTAR'!AT13+'S. BIENESTAR'!AT14+'S. BIENESTAR'!AT15</f>
        <v>30</v>
      </c>
      <c r="AU108" s="363">
        <f t="shared" si="45"/>
        <v>0.98322630612585549</v>
      </c>
      <c r="AV108" s="363">
        <f>AO108+AQ108+AS108</f>
        <v>277.5631532766746</v>
      </c>
      <c r="AW108" s="363">
        <f t="shared" si="38"/>
        <v>139.27318979140023</v>
      </c>
      <c r="AX108" s="354" t="str">
        <f>CONCATENATE('S. BIENESTAR'!AX12," ",'S. BIENESTAR'!AX15)</f>
        <v>Programación mensual , no se  han establecido la linea base y meta resultado 2017 porque  se realizando el empadronamiento censal  a los estudiantes para identificar la población con diversidad funcional, en donde se hace un acercamiento a cada estudiante en condición de discapacidad física para recolectar la información requerida en el registro de  "localización y  caracterización de personas con discapacidad. Medición mensual, son talleres de sensibilización dirigidos a estudiantes de 1 semestre, la inducción y reinducción a Docentes, Administrativos y contratistas</v>
      </c>
    </row>
    <row r="109" spans="1:50" ht="31.5" customHeight="1" x14ac:dyDescent="0.25">
      <c r="A109" s="574"/>
      <c r="B109" s="543"/>
      <c r="C109" s="255" t="str">
        <f>Asignación!A104</f>
        <v>SB-PY1.8</v>
      </c>
      <c r="D109" s="258" t="str">
        <f>Asignación!B104</f>
        <v>Proyecto de Inclusión y atención de la población con diversidad funcional en la USCO.</v>
      </c>
      <c r="E109" s="255">
        <f>Asignación!C104</f>
        <v>301</v>
      </c>
      <c r="F109" s="79"/>
      <c r="G109" s="45"/>
      <c r="H109" s="44"/>
      <c r="I109" s="5">
        <f>Asignación!K104</f>
        <v>0</v>
      </c>
      <c r="J109" s="5">
        <f>'S. BIENESTAR'!J16</f>
        <v>0</v>
      </c>
      <c r="K109" s="5">
        <f t="shared" si="47"/>
        <v>0</v>
      </c>
      <c r="L109" s="233">
        <f>'S. BIENESTAR'!L16</f>
        <v>0</v>
      </c>
      <c r="M109" s="271">
        <f>'S. BIENESTAR'!M16</f>
        <v>0</v>
      </c>
      <c r="N109" s="262">
        <f>'S. BIENESTAR'!N16</f>
        <v>0</v>
      </c>
      <c r="O109" s="271">
        <f>'S. BIENESTAR'!O16</f>
        <v>0</v>
      </c>
      <c r="P109" s="262">
        <f>'S. BIENESTAR'!P16</f>
        <v>0</v>
      </c>
      <c r="Q109" s="271">
        <f>'S. BIENESTAR'!Q16</f>
        <v>0</v>
      </c>
      <c r="R109" s="262">
        <f>'S. BIENESTAR'!R16</f>
        <v>0</v>
      </c>
      <c r="S109" s="267"/>
      <c r="T109" s="267"/>
      <c r="U109" s="267">
        <f t="shared" si="40"/>
        <v>0</v>
      </c>
      <c r="V109" s="237">
        <f>'S. BIENESTAR'!V16</f>
        <v>0</v>
      </c>
      <c r="W109" s="5"/>
      <c r="X109" s="5">
        <f>'S. BIENESTAR'!X11</f>
        <v>0</v>
      </c>
      <c r="Y109" s="5">
        <f>W109-X109</f>
        <v>0</v>
      </c>
      <c r="Z109" s="31">
        <f>'S. BIENESTAR'!Z16</f>
        <v>0</v>
      </c>
      <c r="AA109" s="271">
        <f>'S. BIENESTAR'!AA16</f>
        <v>0</v>
      </c>
      <c r="AB109" s="262">
        <f>'S. BIENESTAR'!AB16</f>
        <v>0</v>
      </c>
      <c r="AC109" s="271">
        <f>'S. BIENESTAR'!AC16</f>
        <v>0</v>
      </c>
      <c r="AD109" s="262">
        <f>'S. BIENESTAR'!AD16</f>
        <v>0</v>
      </c>
      <c r="AE109" s="271">
        <f>'S. BIENESTAR'!AE16</f>
        <v>0</v>
      </c>
      <c r="AF109" s="262">
        <f>'S. BIENESTAR'!AF16</f>
        <v>0</v>
      </c>
      <c r="AG109" s="249"/>
      <c r="AH109" s="249"/>
      <c r="AI109" s="249">
        <f t="shared" si="32"/>
        <v>0</v>
      </c>
      <c r="AJ109" s="97">
        <f>'S. BIENESTAR'!AJ16</f>
        <v>0</v>
      </c>
      <c r="AK109" s="5">
        <f>'S. BIENESTAR'!W13</f>
        <v>0</v>
      </c>
      <c r="AL109" s="5">
        <f>'S. BIENESTAR'!AL11</f>
        <v>0</v>
      </c>
      <c r="AM109" s="5">
        <f>'S. BIENESTAR'!AM11</f>
        <v>0</v>
      </c>
      <c r="AN109" s="332">
        <f>'S. BIENESTAR'!AN16</f>
        <v>0</v>
      </c>
      <c r="AO109" s="350">
        <f>'S. BIENESTAR'!AO16</f>
        <v>0</v>
      </c>
      <c r="AP109" s="332">
        <f>'S. BIENESTAR'!AP16</f>
        <v>0</v>
      </c>
      <c r="AQ109" s="350">
        <f>'S. BIENESTAR'!AQ16</f>
        <v>0</v>
      </c>
      <c r="AR109" s="332">
        <f>'S. BIENESTAR'!AR16</f>
        <v>0</v>
      </c>
      <c r="AS109" s="350">
        <f>'S. BIENESTAR'!AS16</f>
        <v>0</v>
      </c>
      <c r="AT109" s="332">
        <f>'S. BIENESTAR'!AT16</f>
        <v>0</v>
      </c>
      <c r="AU109" s="363"/>
      <c r="AV109" s="363"/>
      <c r="AW109" s="363">
        <f t="shared" si="38"/>
        <v>0</v>
      </c>
      <c r="AX109" s="354">
        <f>'S. BIENESTAR'!AX16</f>
        <v>0</v>
      </c>
    </row>
    <row r="110" spans="1:50" ht="31.5" customHeight="1" x14ac:dyDescent="0.25">
      <c r="A110" s="574"/>
      <c r="B110" s="541" t="s">
        <v>305</v>
      </c>
      <c r="C110" s="568" t="str">
        <f>Asignación!A105</f>
        <v>SB-PY2.1</v>
      </c>
      <c r="D110" s="568" t="str">
        <f>Asignación!B105</f>
        <v>Actividades deportivas de todas las Sedes.</v>
      </c>
      <c r="E110" s="568">
        <f>Asignación!C105</f>
        <v>301</v>
      </c>
      <c r="F110" s="248" t="s">
        <v>285</v>
      </c>
      <c r="G110" s="331"/>
      <c r="H110" s="4"/>
      <c r="I110" s="558">
        <f>Asignación!K105</f>
        <v>415000000</v>
      </c>
      <c r="J110" s="558">
        <f>'S. BIENESTAR'!J17</f>
        <v>150998077</v>
      </c>
      <c r="K110" s="558">
        <f t="shared" si="47"/>
        <v>264001923</v>
      </c>
      <c r="L110" s="233">
        <f>'S. BIENESTAR'!L17</f>
        <v>0</v>
      </c>
      <c r="M110" s="271">
        <f>'S. BIENESTAR'!M17</f>
        <v>0</v>
      </c>
      <c r="N110" s="262">
        <f>'S. BIENESTAR'!N17</f>
        <v>0</v>
      </c>
      <c r="O110" s="271">
        <f>'S. BIENESTAR'!O17</f>
        <v>0</v>
      </c>
      <c r="P110" s="262">
        <f>'S. BIENESTAR'!P17</f>
        <v>0</v>
      </c>
      <c r="Q110" s="271">
        <f>'S. BIENESTAR'!Q17</f>
        <v>0</v>
      </c>
      <c r="R110" s="262">
        <f>'S. BIENESTAR'!R17</f>
        <v>0</v>
      </c>
      <c r="S110" s="267">
        <f t="shared" ref="S110" si="49">IFERROR((J110/I110),0)</f>
        <v>0.36385078795180725</v>
      </c>
      <c r="T110" s="267">
        <f t="shared" ref="T110" si="50">IFERROR((M110+O110+Q110),0)</f>
        <v>0</v>
      </c>
      <c r="U110" s="267">
        <f t="shared" si="40"/>
        <v>0.18192539397590363</v>
      </c>
      <c r="V110" s="237" t="str">
        <f>'S. BIENESTAR'!V17</f>
        <v>Este indicador con respecto a la cobertura de beneficiarios se mide semestral.</v>
      </c>
      <c r="W110" s="558">
        <f>'S. BIENESTAR'!W17</f>
        <v>497028160</v>
      </c>
      <c r="X110" s="558">
        <f>'S. BIENESTAR'!X17</f>
        <v>209845541</v>
      </c>
      <c r="Y110" s="558">
        <f>W110-X110</f>
        <v>287182619</v>
      </c>
      <c r="Z110" s="31">
        <f>'S. BIENESTAR'!Z17+'S. BIENESTAR'!Z18</f>
        <v>4</v>
      </c>
      <c r="AA110" s="271">
        <f>'S. BIENESTAR'!AA17+'S. BIENESTAR'!AA18</f>
        <v>1.8433179723502304E-2</v>
      </c>
      <c r="AB110" s="262">
        <f>'S. BIENESTAR'!AB17+'S. BIENESTAR'!AB18</f>
        <v>17</v>
      </c>
      <c r="AC110" s="271">
        <f>'S. BIENESTAR'!AC17+'S. BIENESTAR'!AC18</f>
        <v>7.8341013824884786E-2</v>
      </c>
      <c r="AD110" s="262">
        <f>'S. BIENESTAR'!AD17+'S. BIENESTAR'!AD18</f>
        <v>8230</v>
      </c>
      <c r="AE110" s="271">
        <f>'S. BIENESTAR'!AE17+'S. BIENESTAR'!AE18</f>
        <v>0.84766705069124426</v>
      </c>
      <c r="AF110" s="262">
        <f>'S. BIENESTAR'!AF17+'S. BIENESTAR'!AF18</f>
        <v>8251</v>
      </c>
      <c r="AG110" s="249">
        <f t="shared" si="43"/>
        <v>0.42220050670770848</v>
      </c>
      <c r="AH110" s="249">
        <f t="shared" ref="AH110" si="51">IFERROR((AA110+AC110+AE110),0)</f>
        <v>0.94444124423963138</v>
      </c>
      <c r="AI110" s="249">
        <f t="shared" si="32"/>
        <v>0.68332087547366993</v>
      </c>
      <c r="AJ110" s="268" t="str">
        <f>'S. BIENESTAR'!AJ17</f>
        <v>Este indicador con respecto a la cobertura de beneficiarios se mide semestral.</v>
      </c>
      <c r="AK110" s="558">
        <f>'S. BIENESTAR'!AK17</f>
        <v>497028160</v>
      </c>
      <c r="AL110" s="558">
        <f>'S. BIENESTAR'!AL17</f>
        <v>434042517</v>
      </c>
      <c r="AM110" s="558">
        <f>'S. BIENESTAR'!AM17</f>
        <v>62985643</v>
      </c>
      <c r="AN110" s="332">
        <f>'S. BIENESTAR'!AN17+'S. BIENESTAR'!AN18</f>
        <v>2</v>
      </c>
      <c r="AO110" s="350">
        <f>'S. BIENESTAR'!AO17+'S. BIENESTAR'!AO18</f>
        <v>8.68</v>
      </c>
      <c r="AP110" s="332">
        <f>'S. BIENESTAR'!AP17+'S. BIENESTAR'!AP18</f>
        <v>18</v>
      </c>
      <c r="AQ110" s="350">
        <f>'S. BIENESTAR'!AQ17+'S. BIENESTAR'!AQ18</f>
        <v>78.12</v>
      </c>
      <c r="AR110" s="332">
        <f>'S. BIENESTAR'!AR17+'S. BIENESTAR'!AR18</f>
        <v>28</v>
      </c>
      <c r="AS110" s="350">
        <f>'S. BIENESTAR'!AS17+'S. BIENESTAR'!AS18</f>
        <v>121.52</v>
      </c>
      <c r="AT110" s="332">
        <f>'S. BIENESTAR'!AT17+'S. BIENESTAR'!AT18</f>
        <v>48</v>
      </c>
      <c r="AU110" s="363">
        <f t="shared" ref="AU110" si="52">IFERROR((AL110/AK110),0)</f>
        <v>0.87327550414849731</v>
      </c>
      <c r="AV110" s="363">
        <f t="shared" ref="AV110" si="53">IFERROR((AO110+AQ110+AS110),0)</f>
        <v>208.32</v>
      </c>
      <c r="AW110" s="363">
        <f t="shared" si="38"/>
        <v>104.59663775207424</v>
      </c>
      <c r="AX110" s="354" t="str">
        <f>'S. BIENESTAR'!AX17</f>
        <v xml:space="preserve">el indicador de cobertura es semestral </v>
      </c>
    </row>
    <row r="111" spans="1:50" ht="41.25" customHeight="1" x14ac:dyDescent="0.25">
      <c r="A111" s="574"/>
      <c r="B111" s="543"/>
      <c r="C111" s="569"/>
      <c r="D111" s="569"/>
      <c r="E111" s="569"/>
      <c r="F111" s="248" t="s">
        <v>285</v>
      </c>
      <c r="G111" s="331"/>
      <c r="H111" s="4"/>
      <c r="I111" s="581"/>
      <c r="J111" s="581"/>
      <c r="K111" s="581"/>
      <c r="L111" s="262">
        <f>'S. BIENESTAR'!L18</f>
        <v>3</v>
      </c>
      <c r="M111" s="271">
        <f>'S. BIENESTAR'!M18</f>
        <v>1.3824884792626729E-2</v>
      </c>
      <c r="N111" s="262">
        <f>'S. BIENESTAR'!N18</f>
        <v>40</v>
      </c>
      <c r="O111" s="271">
        <f>'S. BIENESTAR'!O18</f>
        <v>0.18433179723502305</v>
      </c>
      <c r="P111" s="262">
        <f>'S. BIENESTAR'!P18</f>
        <v>57</v>
      </c>
      <c r="Q111" s="271">
        <f>'S. BIENESTAR'!Q18</f>
        <v>0.26267281105990781</v>
      </c>
      <c r="R111" s="262">
        <f>'S. BIENESTAR'!R18</f>
        <v>100</v>
      </c>
      <c r="S111" s="267"/>
      <c r="T111" s="267"/>
      <c r="U111" s="267">
        <f t="shared" si="40"/>
        <v>0</v>
      </c>
      <c r="V111" s="268" t="str">
        <f>'S. BIENESTAR'!V18</f>
        <v>Las actividades son de medición mensual. Articular las diferentes actividades deportivas que realizan los programas, con la Coordinación de deportes adscrita al Área de Bienestar Institucional, con fines de consolidar la información y dar una respuesta la SUE y SNIES.</v>
      </c>
      <c r="W111" s="581"/>
      <c r="X111" s="581"/>
      <c r="Y111" s="581"/>
      <c r="Z111" s="31"/>
      <c r="AA111" s="271"/>
      <c r="AB111" s="31"/>
      <c r="AC111" s="271"/>
      <c r="AD111" s="31"/>
      <c r="AE111" s="271"/>
      <c r="AF111" s="47"/>
      <c r="AG111" s="249"/>
      <c r="AH111" s="249"/>
      <c r="AI111" s="249">
        <f t="shared" si="32"/>
        <v>0</v>
      </c>
      <c r="AJ111" s="268" t="str">
        <f>'S. BIENESTAR'!AJ18</f>
        <v>Las actividades son de medición mensual. Articular las diferentes actividades deportivas que realizan los programas, con la Coordinación de deportes adscrita al Área de Bienestar Institucional, con fines de consolidar la información y dar una respuesta la SUE y SNIES.</v>
      </c>
      <c r="AK111" s="581"/>
      <c r="AL111" s="581"/>
      <c r="AM111" s="581"/>
      <c r="AN111" s="332"/>
      <c r="AO111" s="350"/>
      <c r="AP111" s="332"/>
      <c r="AQ111" s="350"/>
      <c r="AR111" s="332"/>
      <c r="AS111" s="350"/>
      <c r="AT111" s="47"/>
      <c r="AU111" s="363"/>
      <c r="AV111" s="363"/>
      <c r="AW111" s="363">
        <f t="shared" si="38"/>
        <v>0</v>
      </c>
      <c r="AX111" s="354" t="str">
        <f>'S. BIENESTAR'!AX18</f>
        <v xml:space="preserve">Durante los meses de Julio a Septiembre se desarrollaron el total 48 Actividades, de resaltar que durante el mes de Julio se realizaron pocas actividadades debido a que los estudiantes retoman actividades  academicas. </v>
      </c>
    </row>
    <row r="112" spans="1:50" ht="90" x14ac:dyDescent="0.25">
      <c r="A112" s="574"/>
      <c r="B112" s="627" t="s">
        <v>309</v>
      </c>
      <c r="C112" s="628" t="str">
        <f>Asignación!A106</f>
        <v>SB-PY3.1</v>
      </c>
      <c r="D112" s="44" t="s">
        <v>311</v>
      </c>
      <c r="E112" s="627">
        <f>Asignación!C106</f>
        <v>301</v>
      </c>
      <c r="F112" s="629" t="s">
        <v>312</v>
      </c>
      <c r="G112" s="331"/>
      <c r="H112" s="4"/>
      <c r="I112" s="558">
        <f>Asignación!K106</f>
        <v>408450000</v>
      </c>
      <c r="J112" s="558">
        <f>'S. BIENESTAR'!J19</f>
        <v>136003685</v>
      </c>
      <c r="K112" s="558">
        <f>I112-J112</f>
        <v>272446315</v>
      </c>
      <c r="L112" s="233">
        <f>'S. BIENESTAR'!L19</f>
        <v>5</v>
      </c>
      <c r="M112" s="271">
        <f>'S. BIENESTAR'!M19</f>
        <v>2.2831050228310501E-2</v>
      </c>
      <c r="N112" s="262">
        <f>'S. BIENESTAR'!N19</f>
        <v>45</v>
      </c>
      <c r="O112" s="271">
        <f>'S. BIENESTAR'!O19</f>
        <v>0.20547945205479451</v>
      </c>
      <c r="P112" s="262">
        <f>'S. BIENESTAR'!P19</f>
        <v>57</v>
      </c>
      <c r="Q112" s="271">
        <f>'S. BIENESTAR'!Q19</f>
        <v>0.26027397260273971</v>
      </c>
      <c r="R112" s="262">
        <f>'S. BIENESTAR'!R19</f>
        <v>107</v>
      </c>
      <c r="S112" s="267">
        <f t="shared" ref="S112" si="54">IFERROR((J112/I112),0)</f>
        <v>0.33297511323295387</v>
      </c>
      <c r="T112" s="267">
        <f t="shared" ref="T112" si="55">IFERROR((M112+O112+Q112),0)</f>
        <v>0.48858447488584472</v>
      </c>
      <c r="U112" s="267">
        <f t="shared" si="40"/>
        <v>0.41077979405939929</v>
      </c>
      <c r="V112" s="237" t="str">
        <f>'S. BIENESTAR'!V19</f>
        <v>Abril: Puestas en escena (31) y Cne Club (14), Mayo: Puestas en escena (55) y Cine Club (67)  Junio:  Puestas en escena (18)  y Cine Club (2)</v>
      </c>
      <c r="W112" s="558">
        <f>'S. BIENESTAR'!W19</f>
        <v>416048971</v>
      </c>
      <c r="X112" s="558">
        <f>'S. BIENESTAR'!X19</f>
        <v>237727685</v>
      </c>
      <c r="Y112" s="558">
        <f>W112-X112</f>
        <v>178321286</v>
      </c>
      <c r="Z112" s="31">
        <f>'S. BIENESTAR'!Z19</f>
        <v>45</v>
      </c>
      <c r="AA112" s="271">
        <f>'S. BIENESTAR'!AA19</f>
        <v>0.20547945205479451</v>
      </c>
      <c r="AB112" s="262">
        <f>'S. BIENESTAR'!AB19</f>
        <v>67</v>
      </c>
      <c r="AC112" s="271">
        <f>'S. BIENESTAR'!AC19</f>
        <v>0.30593607305936071</v>
      </c>
      <c r="AD112" s="262">
        <f>'S. BIENESTAR'!AD19</f>
        <v>20</v>
      </c>
      <c r="AE112" s="271">
        <f>'S. BIENESTAR'!AE19</f>
        <v>9.1324200913242004E-2</v>
      </c>
      <c r="AF112" s="262">
        <f>'S. BIENESTAR'!AF19</f>
        <v>132</v>
      </c>
      <c r="AG112" s="249">
        <f t="shared" ref="AG112" si="56">IFERROR((X112/W112),0)</f>
        <v>0.57139351751935952</v>
      </c>
      <c r="AH112" s="249">
        <f t="shared" ref="AH112" si="57">IFERROR((AA112+AC112+AE112),0)</f>
        <v>0.60273972602739723</v>
      </c>
      <c r="AI112" s="249">
        <f t="shared" si="32"/>
        <v>0.58706662177337843</v>
      </c>
      <c r="AJ112" s="97" t="str">
        <f>'S. BIENESTAR'!AJ19</f>
        <v>Abril: Puestas en escena (31) y Cne Club (14), Mayo: Puestas en escena (55) y Cine Club (67)  Junio:  Puestas en escena (18)  y Cine Club (2)</v>
      </c>
      <c r="AK112" s="558">
        <f>'S. BIENESTAR'!AK19</f>
        <v>416048971</v>
      </c>
      <c r="AL112" s="558">
        <f>'S. BIENESTAR'!AL19</f>
        <v>382457971</v>
      </c>
      <c r="AM112" s="558">
        <f>'S. BIENESTAR'!AM19</f>
        <v>33591000</v>
      </c>
      <c r="AN112" s="332">
        <f>'S. BIENESTAR'!AN19</f>
        <v>16</v>
      </c>
      <c r="AO112" s="350">
        <f>'S. BIENESTAR'!AO19</f>
        <v>38.950309220142358</v>
      </c>
      <c r="AP112" s="332">
        <f>'S. BIENESTAR'!AP19</f>
        <v>51</v>
      </c>
      <c r="AQ112" s="350">
        <f>'S. BIENESTAR'!AQ19</f>
        <v>124.15411063920376</v>
      </c>
      <c r="AR112" s="332">
        <f>'S. BIENESTAR'!AR19</f>
        <v>81</v>
      </c>
      <c r="AS112" s="350">
        <f>'S. BIENESTAR'!AS19</f>
        <v>197.18594042697069</v>
      </c>
      <c r="AT112" s="332">
        <f>'S. BIENESTAR'!AT19</f>
        <v>148</v>
      </c>
      <c r="AU112" s="363">
        <f t="shared" ref="AU112" si="58">IFERROR((AL112/AK112),0)</f>
        <v>0.91926190823339404</v>
      </c>
      <c r="AV112" s="363">
        <f t="shared" ref="AV112" si="59">IFERROR((AO112+AQ112+AS112),0)</f>
        <v>360.29036028631685</v>
      </c>
      <c r="AW112" s="363">
        <f t="shared" si="38"/>
        <v>180.60481109727513</v>
      </c>
      <c r="AX112" s="354" t="str">
        <f>'S. BIENESTAR'!AX19</f>
        <v xml:space="preserve">Nos  permitimos informarle que el consejo Superior de la universidad Surcolombiana, realizo un acuerdo el cual es el 015 de 2016 del 13 de Mayo donde aprueba el cambio de las lineas bases a calificar tanto  las puestas en escenas, talleres y grupos para medir la oficina de extensión Cultural.  como soportes se tienen las planillas de asistencias y registro fotografico. </v>
      </c>
    </row>
    <row r="113" spans="1:50" ht="75" x14ac:dyDescent="0.25">
      <c r="A113" s="574"/>
      <c r="B113" s="627"/>
      <c r="C113" s="628"/>
      <c r="D113" s="44" t="s">
        <v>738</v>
      </c>
      <c r="E113" s="627"/>
      <c r="F113" s="629"/>
      <c r="G113" s="331"/>
      <c r="H113" s="4"/>
      <c r="I113" s="559"/>
      <c r="J113" s="559"/>
      <c r="K113" s="559"/>
      <c r="L113" s="262">
        <f>'S. BIENESTAR'!L20</f>
        <v>0</v>
      </c>
      <c r="M113" s="271">
        <f>'S. BIENESTAR'!M20</f>
        <v>0</v>
      </c>
      <c r="N113" s="262">
        <f>'S. BIENESTAR'!N20</f>
        <v>10</v>
      </c>
      <c r="O113" s="271">
        <f>'S. BIENESTAR'!O20</f>
        <v>0.625</v>
      </c>
      <c r="P113" s="262">
        <f>'S. BIENESTAR'!P20</f>
        <v>11</v>
      </c>
      <c r="Q113" s="271">
        <f>'S. BIENESTAR'!Q20</f>
        <v>0.6875</v>
      </c>
      <c r="R113" s="262">
        <f>'S. BIENESTAR'!R20</f>
        <v>21</v>
      </c>
      <c r="S113" s="267"/>
      <c r="T113" s="267"/>
      <c r="U113" s="267">
        <f t="shared" si="40"/>
        <v>0</v>
      </c>
      <c r="V113" s="268" t="str">
        <f>'S. BIENESTAR'!V20</f>
        <v>Ténica Vocal, Taller de Guitarra, Vientos andinos, Danzas, Teatro, Maquillaje artisticos, Percusión Latinoamericana, Percusión Folclórica, como hablar en público, fotografía y de Oratoría, entrenamiento corporal nivel 1 y 2, San Juanero Huilense.</v>
      </c>
      <c r="W113" s="559"/>
      <c r="X113" s="559"/>
      <c r="Y113" s="559"/>
      <c r="Z113" s="262">
        <f>'S. BIENESTAR'!Z20</f>
        <v>14</v>
      </c>
      <c r="AA113" s="271">
        <f>'S. BIENESTAR'!AA20</f>
        <v>0.875</v>
      </c>
      <c r="AB113" s="262">
        <f>'S. BIENESTAR'!AB20</f>
        <v>15</v>
      </c>
      <c r="AC113" s="271">
        <f>'S. BIENESTAR'!AC20</f>
        <v>0.9375</v>
      </c>
      <c r="AD113" s="262">
        <f>'S. BIENESTAR'!AD20</f>
        <v>16</v>
      </c>
      <c r="AE113" s="271">
        <f>'S. BIENESTAR'!AE20</f>
        <v>1</v>
      </c>
      <c r="AF113" s="262">
        <f>'S. BIENESTAR'!AF20</f>
        <v>16</v>
      </c>
      <c r="AG113" s="249"/>
      <c r="AH113" s="249"/>
      <c r="AI113" s="249">
        <f t="shared" si="32"/>
        <v>0</v>
      </c>
      <c r="AJ113" s="268" t="str">
        <f>'S. BIENESTAR'!AJ20</f>
        <v>Ténica Vocal, Taller de Guitarra, Vientos andinos, Danzas, Teatro, Maquillaje artisticos, Percusión Latinoamericana, Percusión Folclórica, como hablar en público, fotografía y de Oratoría, entrenamiento corporal nivel 1 y 2, San Juanero Huilense.</v>
      </c>
      <c r="AK113" s="559"/>
      <c r="AL113" s="559"/>
      <c r="AM113" s="559"/>
      <c r="AN113" s="332">
        <f>'S. BIENESTAR'!AN20</f>
        <v>11</v>
      </c>
      <c r="AO113" s="350">
        <f>'S. BIENESTAR'!AO20</f>
        <v>16.761904761904763</v>
      </c>
      <c r="AP113" s="332">
        <f>'S. BIENESTAR'!AP20</f>
        <v>11</v>
      </c>
      <c r="AQ113" s="350">
        <f>'S. BIENESTAR'!AQ20</f>
        <v>16.761904761904763</v>
      </c>
      <c r="AR113" s="332">
        <f>'S. BIENESTAR'!AR20</f>
        <v>11</v>
      </c>
      <c r="AS113" s="350">
        <f>'S. BIENESTAR'!AS20</f>
        <v>16.761904761904763</v>
      </c>
      <c r="AT113" s="332">
        <f>'S. BIENESTAR'!AT20</f>
        <v>33</v>
      </c>
      <c r="AU113" s="363"/>
      <c r="AV113" s="363"/>
      <c r="AW113" s="363">
        <f t="shared" si="38"/>
        <v>0</v>
      </c>
      <c r="AX113" s="354">
        <f>'S. BIENESTAR'!AX20</f>
        <v>0</v>
      </c>
    </row>
    <row r="114" spans="1:50" ht="90" x14ac:dyDescent="0.25">
      <c r="A114" s="574"/>
      <c r="B114" s="627"/>
      <c r="C114" s="628"/>
      <c r="D114" s="44" t="s">
        <v>739</v>
      </c>
      <c r="E114" s="627"/>
      <c r="F114" s="629"/>
      <c r="G114" s="331"/>
      <c r="H114" s="4"/>
      <c r="I114" s="559"/>
      <c r="J114" s="559"/>
      <c r="K114" s="559"/>
      <c r="L114" s="262">
        <f>'S. BIENESTAR'!L21</f>
        <v>0</v>
      </c>
      <c r="M114" s="271">
        <f>'S. BIENESTAR'!M21</f>
        <v>0</v>
      </c>
      <c r="N114" s="262">
        <f>'S. BIENESTAR'!N21</f>
        <v>0</v>
      </c>
      <c r="O114" s="271">
        <f>'S. BIENESTAR'!O21</f>
        <v>0</v>
      </c>
      <c r="P114" s="262">
        <f>'S. BIENESTAR'!P21</f>
        <v>9</v>
      </c>
      <c r="Q114" s="271">
        <f>'S. BIENESTAR'!Q21</f>
        <v>0.5625</v>
      </c>
      <c r="R114" s="262">
        <f>'S. BIENESTAR'!R21</f>
        <v>9</v>
      </c>
      <c r="S114" s="267"/>
      <c r="T114" s="267"/>
      <c r="U114" s="267">
        <f t="shared" si="40"/>
        <v>0</v>
      </c>
      <c r="V114" s="268" t="str">
        <f>'S. BIENESTAR'!V21</f>
        <v>Grupo musical Surcolombiano, La Coral Universitaria, Grupo danzas indigenas Ninakipxh pasos del Sol, música Andina "Takirari, Música Folclórica Latinoamericana Arena Blanca, música folclórica Mayari, Grupo de núsica autóctona Las Aguilas de la Usco,Grupo de Teatro Uscolombia, grupos folclóricos y Cine Club.</v>
      </c>
      <c r="W114" s="559"/>
      <c r="X114" s="559"/>
      <c r="Y114" s="559"/>
      <c r="Z114" s="262">
        <f>'S. BIENESTAR'!Z21</f>
        <v>11</v>
      </c>
      <c r="AA114" s="271">
        <f>'S. BIENESTAR'!AA21</f>
        <v>0.6875</v>
      </c>
      <c r="AB114" s="262">
        <f>'S. BIENESTAR'!AB21</f>
        <v>11</v>
      </c>
      <c r="AC114" s="271">
        <f>'S. BIENESTAR'!AC21</f>
        <v>0.6875</v>
      </c>
      <c r="AD114" s="262">
        <f>'S. BIENESTAR'!AD21</f>
        <v>11</v>
      </c>
      <c r="AE114" s="271">
        <f>'S. BIENESTAR'!AE21</f>
        <v>0.6875</v>
      </c>
      <c r="AF114" s="262">
        <f>'S. BIENESTAR'!AF21</f>
        <v>11</v>
      </c>
      <c r="AG114" s="249"/>
      <c r="AH114" s="249"/>
      <c r="AI114" s="249">
        <f t="shared" si="32"/>
        <v>0</v>
      </c>
      <c r="AJ114" s="268" t="str">
        <f>'S. BIENESTAR'!AJ21</f>
        <v>Grupo musical Surcolombiano, La Coral Universitaria, Grupo danzas indigenas Ninakipxh pasos del Sol, música Andina "Takirari, Música Folclórica Latinoamericana Arena Blanca, música folclórica Mayari, Grupo de núsica autóctona Las Aguilas de la Usco,Grupo de Teatro Uscolombia, grupos folclóricos y Cine Club.</v>
      </c>
      <c r="AK114" s="559"/>
      <c r="AL114" s="559"/>
      <c r="AM114" s="559"/>
      <c r="AN114" s="332">
        <f>'S. BIENESTAR'!AN21</f>
        <v>11</v>
      </c>
      <c r="AO114" s="350">
        <f>'S. BIENESTAR'!AO21</f>
        <v>39.111111111111114</v>
      </c>
      <c r="AP114" s="332">
        <f>'S. BIENESTAR'!AP21</f>
        <v>11</v>
      </c>
      <c r="AQ114" s="350">
        <f>'S. BIENESTAR'!AQ21</f>
        <v>39.111111111111114</v>
      </c>
      <c r="AR114" s="332">
        <f>'S. BIENESTAR'!AR21</f>
        <v>11</v>
      </c>
      <c r="AS114" s="350">
        <f>'S. BIENESTAR'!AS21</f>
        <v>39.111111111111114</v>
      </c>
      <c r="AT114" s="332">
        <f>'S. BIENESTAR'!AT21</f>
        <v>33</v>
      </c>
      <c r="AU114" s="363"/>
      <c r="AV114" s="363"/>
      <c r="AW114" s="363">
        <f t="shared" si="38"/>
        <v>0</v>
      </c>
      <c r="AX114" s="354">
        <f>'S. BIENESTAR'!AX21</f>
        <v>0</v>
      </c>
    </row>
    <row r="115" spans="1:50" ht="75" x14ac:dyDescent="0.25">
      <c r="A115" s="574"/>
      <c r="B115" s="627" t="s">
        <v>315</v>
      </c>
      <c r="C115" s="628" t="str">
        <f>Asignación!A107</f>
        <v>SB-PY4.1</v>
      </c>
      <c r="D115" s="2" t="s">
        <v>317</v>
      </c>
      <c r="E115" s="627">
        <f>Asignación!C107</f>
        <v>301</v>
      </c>
      <c r="F115" s="629" t="s">
        <v>318</v>
      </c>
      <c r="G115" s="331"/>
      <c r="H115" s="4"/>
      <c r="I115" s="558">
        <f>Asignación!K107</f>
        <v>76465225</v>
      </c>
      <c r="J115" s="558">
        <f>'S. BIENESTAR'!J22</f>
        <v>10870000</v>
      </c>
      <c r="K115" s="558">
        <f>I115-J115</f>
        <v>65595225</v>
      </c>
      <c r="L115" s="233">
        <f>'S. BIENESTAR'!L22</f>
        <v>0</v>
      </c>
      <c r="M115" s="271">
        <f>'S. BIENESTAR'!M22</f>
        <v>0</v>
      </c>
      <c r="N115" s="262">
        <f>'S. BIENESTAR'!N22</f>
        <v>0</v>
      </c>
      <c r="O115" s="271">
        <f>'S. BIENESTAR'!O22</f>
        <v>0</v>
      </c>
      <c r="P115" s="262">
        <f>'S. BIENESTAR'!P22</f>
        <v>1</v>
      </c>
      <c r="Q115" s="271">
        <f>'S. BIENESTAR'!Q22</f>
        <v>9.0909090909090912E-2</v>
      </c>
      <c r="R115" s="262">
        <f>'S. BIENESTAR'!R22</f>
        <v>1</v>
      </c>
      <c r="S115" s="267">
        <f t="shared" ref="S115" si="60">IFERROR((J115/I115),0)</f>
        <v>0.14215612391122892</v>
      </c>
      <c r="T115" s="267">
        <f t="shared" ref="T115" si="61">IFERROR((M115+O115+Q115),0)</f>
        <v>9.0909090909090912E-2</v>
      </c>
      <c r="U115" s="267">
        <f t="shared" si="40"/>
        <v>0.11653260741015992</v>
      </c>
      <c r="V115" s="600" t="str">
        <f>'S. BIENESTAR'!V22</f>
        <v>Jornada academica y cultural para el mejoramiento del Clima Organizacional en la Universidad Surcolombiana con ocasión del día de la secretaria (150). Actividad Cultual y de integración de la Comunidad Universitaria (800), Evento Cultural con ocasión del dia del maestro (600)</v>
      </c>
      <c r="W115" s="558">
        <f>'S. BIENESTAR'!W22</f>
        <v>125165225</v>
      </c>
      <c r="X115" s="558">
        <f>'S. BIENESTAR'!X22</f>
        <v>82611083</v>
      </c>
      <c r="Y115" s="558">
        <f>W115-X115</f>
        <v>42554142</v>
      </c>
      <c r="Z115" s="31">
        <f>'S. BIENESTAR'!Z22</f>
        <v>0</v>
      </c>
      <c r="AA115" s="271">
        <f>'S. BIENESTAR'!AA22</f>
        <v>0</v>
      </c>
      <c r="AB115" s="262">
        <f>'S. BIENESTAR'!AB22</f>
        <v>0</v>
      </c>
      <c r="AC115" s="271">
        <f>'S. BIENESTAR'!AC22</f>
        <v>0</v>
      </c>
      <c r="AD115" s="262">
        <f>'S. BIENESTAR'!AD22</f>
        <v>0</v>
      </c>
      <c r="AE115" s="271">
        <f>'S. BIENESTAR'!AE22</f>
        <v>0</v>
      </c>
      <c r="AF115" s="262">
        <f>'S. BIENESTAR'!AF22</f>
        <v>0</v>
      </c>
      <c r="AG115" s="249">
        <f t="shared" ref="AG115" si="62">IFERROR((X115/W115),0)</f>
        <v>0.66001625451478241</v>
      </c>
      <c r="AH115" s="249">
        <f t="shared" ref="AH115" si="63">IFERROR((AA115+AC115+AE115),0)</f>
        <v>0</v>
      </c>
      <c r="AI115" s="249">
        <f t="shared" si="32"/>
        <v>0.3300081272573912</v>
      </c>
      <c r="AJ115" s="97">
        <f>'S. BIENESTAR'!AJ22</f>
        <v>0</v>
      </c>
      <c r="AK115" s="558">
        <f>'S. BIENESTAR'!AK22</f>
        <v>125165225</v>
      </c>
      <c r="AL115" s="558">
        <f>'S. BIENESTAR'!AL22</f>
        <v>83669383</v>
      </c>
      <c r="AM115" s="558">
        <f>'S. BIENESTAR'!AM22</f>
        <v>41495842</v>
      </c>
      <c r="AN115" s="332">
        <f>'S. BIENESTAR'!AN22</f>
        <v>0</v>
      </c>
      <c r="AO115" s="350">
        <f>'S. BIENESTAR'!AO22</f>
        <v>0</v>
      </c>
      <c r="AP115" s="332">
        <f>'S. BIENESTAR'!AP22</f>
        <v>1</v>
      </c>
      <c r="AQ115" s="350">
        <f>'S. BIENESTAR'!AQ22</f>
        <v>8.5812891535182008</v>
      </c>
      <c r="AR115" s="332">
        <f>'S. BIENESTAR'!AR22</f>
        <v>1</v>
      </c>
      <c r="AS115" s="350">
        <f>'S. BIENESTAR'!AS22</f>
        <v>8.5812891535182008</v>
      </c>
      <c r="AT115" s="332">
        <f>'S. BIENESTAR'!AT22</f>
        <v>2</v>
      </c>
      <c r="AU115" s="363">
        <f t="shared" ref="AU115" si="64">IFERROR((AL115/AK115),0)</f>
        <v>0.6684714783998511</v>
      </c>
      <c r="AV115" s="363">
        <f t="shared" ref="AV115" si="65">IFERROR((AO115+AQ115+AS115),0)</f>
        <v>17.162578307036402</v>
      </c>
      <c r="AW115" s="363">
        <f t="shared" si="38"/>
        <v>8.9155248927181265</v>
      </c>
      <c r="AX115" s="354" t="str">
        <f>'S. BIENESTAR'!AX22</f>
        <v xml:space="preserve">En el mes   Agosto se Apoyo a actividades de clima organizacional, docentes, estudiantes y administrativos Facultad de Educación. Y durante el mes de Septiembre se 1. Apoyo económico para evento de integración lúdica y cultural 18 años de la FACIEN </v>
      </c>
    </row>
    <row r="116" spans="1:50" ht="75" x14ac:dyDescent="0.25">
      <c r="A116" s="574"/>
      <c r="B116" s="627"/>
      <c r="C116" s="628"/>
      <c r="D116" s="2" t="s">
        <v>319</v>
      </c>
      <c r="E116" s="627"/>
      <c r="F116" s="629"/>
      <c r="G116" s="331"/>
      <c r="H116" s="4"/>
      <c r="I116" s="559"/>
      <c r="J116" s="559"/>
      <c r="K116" s="559"/>
      <c r="L116" s="262">
        <f>'S. BIENESTAR'!L23</f>
        <v>0</v>
      </c>
      <c r="M116" s="271">
        <f>'S. BIENESTAR'!M23</f>
        <v>0</v>
      </c>
      <c r="N116" s="262">
        <f>'S. BIENESTAR'!N23</f>
        <v>0</v>
      </c>
      <c r="O116" s="271">
        <f>'S. BIENESTAR'!O23</f>
        <v>0</v>
      </c>
      <c r="P116" s="262">
        <f>'S. BIENESTAR'!P23</f>
        <v>0</v>
      </c>
      <c r="Q116" s="271">
        <f>'S. BIENESTAR'!Q23</f>
        <v>0</v>
      </c>
      <c r="R116" s="262">
        <f>'S. BIENESTAR'!R23</f>
        <v>0</v>
      </c>
      <c r="S116" s="267"/>
      <c r="T116" s="267"/>
      <c r="U116" s="267">
        <f t="shared" si="40"/>
        <v>0</v>
      </c>
      <c r="V116" s="601"/>
      <c r="W116" s="559"/>
      <c r="X116" s="559"/>
      <c r="Y116" s="559"/>
      <c r="Z116" s="262">
        <f>'S. BIENESTAR'!Z23</f>
        <v>1</v>
      </c>
      <c r="AA116" s="271">
        <f>'S. BIENESTAR'!AA23</f>
        <v>0.1111111111111111</v>
      </c>
      <c r="AB116" s="262">
        <f>'S. BIENESTAR'!AB23</f>
        <v>0</v>
      </c>
      <c r="AC116" s="271">
        <f>'S. BIENESTAR'!AC23</f>
        <v>0</v>
      </c>
      <c r="AD116" s="262">
        <f>'S. BIENESTAR'!AD23</f>
        <v>2</v>
      </c>
      <c r="AE116" s="271">
        <f>'S. BIENESTAR'!AE23</f>
        <v>0.22222222222222221</v>
      </c>
      <c r="AF116" s="262">
        <f>'S. BIENESTAR'!AF23</f>
        <v>3</v>
      </c>
      <c r="AG116" s="249"/>
      <c r="AH116" s="249"/>
      <c r="AI116" s="249">
        <f t="shared" si="32"/>
        <v>0</v>
      </c>
      <c r="AJ116" s="268" t="str">
        <f>'S. BIENESTAR'!AJ23</f>
        <v>Jornada academica y cultural para el mejoramiento del Clima Organizacional en la Universidad Surcolombiana con ocasión del día de la secretaria (150). Actividad Cultual y de integración de la Comunidad Universitaria (800), Evento Cultural con ocasión del dia del maestro (600)</v>
      </c>
      <c r="AK116" s="559"/>
      <c r="AL116" s="559"/>
      <c r="AM116" s="559"/>
      <c r="AN116" s="332">
        <f>'S. BIENESTAR'!AN23</f>
        <v>3</v>
      </c>
      <c r="AO116" s="350">
        <f>'S. BIENESTAR'!AO23</f>
        <v>0</v>
      </c>
      <c r="AP116" s="332">
        <f>'S. BIENESTAR'!AP23</f>
        <v>0</v>
      </c>
      <c r="AQ116" s="350">
        <f>'S. BIENESTAR'!AQ23</f>
        <v>0</v>
      </c>
      <c r="AR116" s="332">
        <f>'S. BIENESTAR'!AR23</f>
        <v>1</v>
      </c>
      <c r="AS116" s="350">
        <f>'S. BIENESTAR'!AS23</f>
        <v>0</v>
      </c>
      <c r="AT116" s="332">
        <f>'S. BIENESTAR'!AT23</f>
        <v>4</v>
      </c>
      <c r="AU116" s="363"/>
      <c r="AV116" s="363"/>
      <c r="AW116" s="363">
        <f t="shared" si="38"/>
        <v>0</v>
      </c>
      <c r="AX116" s="354" t="str">
        <f>'S. BIENESTAR'!AX23</f>
        <v>En el mes de Julio se realizo integración en el área de Bienestar Universitrario, se apoyo en la Integracion de Vigilantes, y Conductores, de Septiembre se realizo el  Encuentro de la canción de Administrativos, Docentes y Egresados.</v>
      </c>
    </row>
    <row r="117" spans="1:50" ht="165" x14ac:dyDescent="0.25">
      <c r="A117" s="574"/>
      <c r="B117" s="630" t="s">
        <v>320</v>
      </c>
      <c r="C117" s="568" t="str">
        <f>Asignación!A108</f>
        <v>SB-PY5.1</v>
      </c>
      <c r="D117" s="2" t="str">
        <f>Asignación!B108</f>
        <v>Prestación de servicio de restaurante a los estudiantes en las Sedes.</v>
      </c>
      <c r="E117" s="253">
        <f>Asignación!C108</f>
        <v>301</v>
      </c>
      <c r="F117" s="4" t="s">
        <v>285</v>
      </c>
      <c r="G117" s="53"/>
      <c r="H117" s="4"/>
      <c r="I117" s="558">
        <f>Asignación!K108</f>
        <v>1431437569</v>
      </c>
      <c r="J117" s="558">
        <f>'S. BIENESTAR'!J24</f>
        <v>1372723790</v>
      </c>
      <c r="K117" s="558">
        <f>I117-J117</f>
        <v>58713779</v>
      </c>
      <c r="L117" s="54">
        <f>'S. BIENESTAR'!L24</f>
        <v>0</v>
      </c>
      <c r="M117" s="271">
        <f>'S. BIENESTAR'!M24</f>
        <v>0</v>
      </c>
      <c r="N117" s="54">
        <f>'S. BIENESTAR'!N24</f>
        <v>39344</v>
      </c>
      <c r="O117" s="271">
        <f>'S. BIENESTAR'!O24</f>
        <v>14.550295857988166</v>
      </c>
      <c r="P117" s="54">
        <f>'S. BIENESTAR'!P24</f>
        <v>71470</v>
      </c>
      <c r="Q117" s="271">
        <f>'S. BIENESTAR'!Q24</f>
        <v>26.431213017751478</v>
      </c>
      <c r="R117" s="54">
        <f>'S. BIENESTAR'!R24</f>
        <v>110814</v>
      </c>
      <c r="S117" s="267">
        <f t="shared" ref="S117" si="66">IFERROR((J117/I117),0)</f>
        <v>0.95898264774410147</v>
      </c>
      <c r="T117" s="267">
        <f t="shared" ref="T117" si="67">IFERROR((M117+O117+Q117),0)</f>
        <v>40.981508875739642</v>
      </c>
      <c r="U117" s="267">
        <f t="shared" si="40"/>
        <v>20.970245761741872</v>
      </c>
      <c r="V117" s="237" t="str">
        <f>'S. BIENESTAR'!V24</f>
        <v>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Conforme al calendario de actividades Académico-Administativas del año 2.017 contenidas en el Acuerdo No.029 del 27 de Octubre de 2.016. Contrato UC-009-2017, El número de raciones proyectadas  segundo trimestre  135.500, versus las efectivamente entregadas 173.841  (145%). cantidad entregadas en el primer trimestre corresponden a un 32% del total año.</v>
      </c>
      <c r="W117" s="303">
        <f>'S. BIENESTAR'!W24</f>
        <v>1219603969</v>
      </c>
      <c r="X117" s="303">
        <f>'S. BIENESTAR'!X24</f>
        <v>504802036</v>
      </c>
      <c r="Y117" s="303">
        <f>'S. BIENESTAR'!Y24</f>
        <v>714801933</v>
      </c>
      <c r="Z117" s="54">
        <f>'S. BIENESTAR'!Z24</f>
        <v>52969</v>
      </c>
      <c r="AA117" s="271">
        <f>'S. BIENESTAR'!AA24</f>
        <v>19.589127218934912</v>
      </c>
      <c r="AB117" s="54">
        <f>'S. BIENESTAR'!AB24</f>
        <v>67903</v>
      </c>
      <c r="AC117" s="271">
        <f>'S. BIENESTAR'!AC24</f>
        <v>25.112056213017752</v>
      </c>
      <c r="AD117" s="54">
        <f>'S. BIENESTAR'!AD24</f>
        <v>15290</v>
      </c>
      <c r="AE117" s="271">
        <f>'S. BIENESTAR'!AE24</f>
        <v>5.6545857988165684</v>
      </c>
      <c r="AF117" s="54">
        <f>'S. BIENESTAR'!AF24</f>
        <v>136162</v>
      </c>
      <c r="AG117" s="249">
        <f t="shared" ref="AG117" si="68">IFERROR((X117/W117),0)</f>
        <v>0.41390652115859095</v>
      </c>
      <c r="AH117" s="249">
        <f t="shared" ref="AH117" si="69">IFERROR((AA117+AC117+AE117),0)</f>
        <v>50.355769230769234</v>
      </c>
      <c r="AI117" s="249">
        <f t="shared" si="32"/>
        <v>25.384837875963914</v>
      </c>
      <c r="AJ117" s="97" t="str">
        <f>'S. BIENESTAR'!AJ24</f>
        <v>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Conforme al calendario de actividades Académico-Administativas del año 2.017 contenidas en el Acuerdo No.029 del 27 de Octubre de 2.016. Contrato UC-009-2017, El número de raciones proyectadas  segundo trimestre  135.500, versus las efectivamente entregadas 173.841  (145%). cantidad entregadas en el primer trimestre corresponden a un 32% del total año.</v>
      </c>
      <c r="AK117" s="303">
        <f>'S. BIENESTAR'!AK24</f>
        <v>1219603969</v>
      </c>
      <c r="AL117" s="303">
        <f>'S. BIENESTAR'!AL24</f>
        <v>813506012</v>
      </c>
      <c r="AM117" s="303">
        <f>'S. BIENESTAR'!AM24</f>
        <v>406097957</v>
      </c>
      <c r="AN117" s="54">
        <f>'S. BIENESTAR'!AN24</f>
        <v>0</v>
      </c>
      <c r="AO117" s="350">
        <f>'S. BIENESTAR'!AO24</f>
        <v>0</v>
      </c>
      <c r="AP117" s="54">
        <f>'S. BIENESTAR'!AP24</f>
        <v>74753</v>
      </c>
      <c r="AQ117" s="350">
        <f>'S. BIENESTAR'!AQ24</f>
        <v>3564.7174024245064</v>
      </c>
      <c r="AR117" s="54">
        <f>'S. BIENESTAR'!AR24</f>
        <v>76713</v>
      </c>
      <c r="AS117" s="350">
        <f>'S. BIENESTAR'!AS24</f>
        <v>3658.183164450807</v>
      </c>
      <c r="AT117" s="54">
        <f>'S. BIENESTAR'!AT24</f>
        <v>151466</v>
      </c>
      <c r="AU117" s="363">
        <f t="shared" ref="AU117" si="70">IFERROR((AL117/AK117),0)</f>
        <v>0.66702473317385536</v>
      </c>
      <c r="AV117" s="363">
        <f t="shared" ref="AV117" si="71">IFERROR((AO117+AQ117+AS117),0)</f>
        <v>7222.9005668753134</v>
      </c>
      <c r="AW117" s="363">
        <f t="shared" si="38"/>
        <v>3611.7837958042437</v>
      </c>
      <c r="AX117" s="354" t="str">
        <f>'S. BIENESTAR'!AX24</f>
        <v>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Contrato UC-009-2017, El número de raciones proyectadas  tercer trimestre, 141060  versus las efectivamente entregadas  151466 (107%).</v>
      </c>
    </row>
    <row r="118" spans="1:50" ht="120" x14ac:dyDescent="0.25">
      <c r="A118" s="574"/>
      <c r="B118" s="630"/>
      <c r="C118" s="576"/>
      <c r="D118" s="2" t="s">
        <v>322</v>
      </c>
      <c r="E118" s="83"/>
      <c r="F118" s="4" t="s">
        <v>285</v>
      </c>
      <c r="G118" s="53"/>
      <c r="H118" s="4"/>
      <c r="I118" s="559"/>
      <c r="J118" s="559"/>
      <c r="K118" s="559"/>
      <c r="L118" s="54">
        <f>'S. BIENESTAR'!L25</f>
        <v>0</v>
      </c>
      <c r="M118" s="271">
        <f>'S. BIENESTAR'!M25</f>
        <v>0</v>
      </c>
      <c r="N118" s="54">
        <f>'S. BIENESTAR'!N25</f>
        <v>5200</v>
      </c>
      <c r="O118" s="271">
        <f>'S. BIENESTAR'!O25</f>
        <v>6.3694267515923567E-2</v>
      </c>
      <c r="P118" s="54">
        <f>'S. BIENESTAR'!P25</f>
        <v>11440</v>
      </c>
      <c r="Q118" s="271">
        <f>'S. BIENESTAR'!Q25</f>
        <v>0.14012738853503184</v>
      </c>
      <c r="R118" s="54">
        <f>'S. BIENESTAR'!R25</f>
        <v>16640</v>
      </c>
      <c r="S118" s="267"/>
      <c r="T118" s="267"/>
      <c r="U118" s="267">
        <f t="shared" si="40"/>
        <v>0</v>
      </c>
      <c r="V118" s="268" t="str">
        <f>'S. BIENESTAR'!V25</f>
        <v>Corresponden al suministro de alimentarias y/o meriendas, mediante el sistema subsidiado, con destinos a los estudiantes matriculados de la Sede de Pitalito de la Universidad Surcolombiana, desde el 09 de Febrero al  02 de Junio. Proyectadas de Abril a Junio a  19.760 raciones. (520 Diarias/300 Diarias en el 2016), cumplimiento de 100% respecto a lo proyectado en el trimestre y    un 45%  del proyectado anual. Contrato UC-008-2017</v>
      </c>
      <c r="W118" s="303">
        <f>'S. BIENESTAR'!W25</f>
        <v>125174400</v>
      </c>
      <c r="X118" s="303">
        <f>'S. BIENESTAR'!X25</f>
        <v>73018400</v>
      </c>
      <c r="Y118" s="303">
        <f>'S. BIENESTAR'!Y25</f>
        <v>52156000</v>
      </c>
      <c r="Z118" s="54">
        <f>'S. BIENESTAR'!Z25</f>
        <v>7800</v>
      </c>
      <c r="AA118" s="271">
        <f>'S. BIENESTAR'!AA25</f>
        <v>9.5541401273885357E-2</v>
      </c>
      <c r="AB118" s="54">
        <f>'S. BIENESTAR'!AB25</f>
        <v>10920</v>
      </c>
      <c r="AC118" s="271">
        <f>'S. BIENESTAR'!AC25</f>
        <v>0.13375796178343949</v>
      </c>
      <c r="AD118" s="54">
        <f>'S. BIENESTAR'!AD25</f>
        <v>1040</v>
      </c>
      <c r="AE118" s="271">
        <f>'S. BIENESTAR'!AE25</f>
        <v>1.2738853503184714E-2</v>
      </c>
      <c r="AF118" s="54">
        <f>'S. BIENESTAR'!AF25</f>
        <v>19760</v>
      </c>
      <c r="AG118" s="249"/>
      <c r="AH118" s="249"/>
      <c r="AI118" s="249">
        <f t="shared" si="32"/>
        <v>0</v>
      </c>
      <c r="AJ118" s="268" t="str">
        <f>'S. BIENESTAR'!AJ25</f>
        <v>Corresponden al suministro de alimentarias y/o meriendas, mediante el sistema subsidiado, con destinos a los estudiantes matriculados de la Sede de Pitalito de la Universidad Surcolombiana, desde el 09 de Febrero al  02 de Junio. Proyectadas de Abril a Junio a  19.760 raciones. (520 Diarias/300 Diarias en el 2016), cumplimiento de 100% respecto a lo proyectado en el trimestre y    un 45%  del proyectado anual. Contrato UC-008-2017</v>
      </c>
      <c r="AK118" s="303">
        <f>'S. BIENESTAR'!AK25</f>
        <v>125174400</v>
      </c>
      <c r="AL118" s="303">
        <f>'S. BIENESTAR'!AL25</f>
        <v>116829440</v>
      </c>
      <c r="AM118" s="303">
        <f>'S. BIENESTAR'!AM25</f>
        <v>8344960</v>
      </c>
      <c r="AN118" s="54">
        <f>'S. BIENESTAR'!AN25</f>
        <v>0</v>
      </c>
      <c r="AO118" s="350">
        <f>'S. BIENESTAR'!AO25</f>
        <v>0</v>
      </c>
      <c r="AP118" s="54">
        <f>'S. BIENESTAR'!AP25</f>
        <v>10920</v>
      </c>
      <c r="AQ118" s="350">
        <f>'S. BIENESTAR'!AQ25</f>
        <v>107152.5</v>
      </c>
      <c r="AR118" s="54">
        <f>'S. BIENESTAR'!AR25</f>
        <v>10920</v>
      </c>
      <c r="AS118" s="350">
        <f>'S. BIENESTAR'!AS25</f>
        <v>107152.5</v>
      </c>
      <c r="AT118" s="54">
        <f>'S. BIENESTAR'!AT25</f>
        <v>21840</v>
      </c>
      <c r="AU118" s="363"/>
      <c r="AV118" s="363"/>
      <c r="AW118" s="363">
        <f t="shared" si="38"/>
        <v>0</v>
      </c>
      <c r="AX118" s="354" t="str">
        <f>'S. BIENESTAR'!AX25</f>
        <v>Corresponden al suministro de alimentarias y/o meriendas, mediante el sistema subsidiado, con destinos a los estudiantes matriculados de la Sede de Pitalito de la Universidad Surcolombiana,  Contrato UC-008-2017, el numero de raciones proyectadas tercer trimestre,  22360   versus las efectivamente entregadas 21840  (98%).</v>
      </c>
    </row>
    <row r="119" spans="1:50" ht="33" customHeight="1" x14ac:dyDescent="0.25">
      <c r="A119" s="574"/>
      <c r="B119" s="630"/>
      <c r="C119" s="576"/>
      <c r="D119" s="2" t="s">
        <v>323</v>
      </c>
      <c r="E119" s="83"/>
      <c r="F119" s="4" t="s">
        <v>285</v>
      </c>
      <c r="G119" s="53"/>
      <c r="H119" s="4"/>
      <c r="I119" s="559"/>
      <c r="J119" s="559"/>
      <c r="K119" s="559"/>
      <c r="L119" s="54">
        <f>'S. BIENESTAR'!L26</f>
        <v>0</v>
      </c>
      <c r="M119" s="271">
        <f>'S. BIENESTAR'!M26</f>
        <v>0</v>
      </c>
      <c r="N119" s="54">
        <f>'S. BIENESTAR'!N26</f>
        <v>1800</v>
      </c>
      <c r="O119" s="271">
        <f>'S. BIENESTAR'!O26</f>
        <v>6.3694267515923567E-2</v>
      </c>
      <c r="P119" s="54">
        <f>'S. BIENESTAR'!P26</f>
        <v>3960</v>
      </c>
      <c r="Q119" s="271">
        <f>'S. BIENESTAR'!Q26</f>
        <v>0.14012738853503184</v>
      </c>
      <c r="R119" s="54">
        <f>'S. BIENESTAR'!R26</f>
        <v>5760</v>
      </c>
      <c r="S119" s="267"/>
      <c r="T119" s="267"/>
      <c r="U119" s="267">
        <f t="shared" si="40"/>
        <v>0</v>
      </c>
      <c r="V119" s="268" t="str">
        <f>'S. BIENESTAR'!V26</f>
        <v>Corresponden al suministro de alimentarias y/o meriendas, mediante el sistema subsidiado, con destinos a los estudiantes matriculados de la Sede de Garzón de la Universidad Surcolombiana, desde el 09 de Febrero al  02 de Junio. Proyectadas de Abril a Junio a  6.840 raciones. (180 Diarias/150 Diarias en el 2016)  cumplimiento de 118% respecto a lo proyectado en el trimestre y    un 47%  del proyectado anual. Contrato UC-008-2017</v>
      </c>
      <c r="W119" s="303">
        <f>'S. BIENESTAR'!W26</f>
        <v>43329600</v>
      </c>
      <c r="X119" s="303">
        <f>'S. BIENESTAR'!X26</f>
        <v>26748004</v>
      </c>
      <c r="Y119" s="303">
        <f>'S. BIENESTAR'!Y26</f>
        <v>16581596</v>
      </c>
      <c r="Z119" s="54">
        <f>'S. BIENESTAR'!Z26</f>
        <v>2700</v>
      </c>
      <c r="AA119" s="271">
        <f>'S. BIENESTAR'!AA26</f>
        <v>9.5541401273885357E-2</v>
      </c>
      <c r="AB119" s="54">
        <f>'S. BIENESTAR'!AB26</f>
        <v>3780</v>
      </c>
      <c r="AC119" s="271">
        <f>'S. BIENESTAR'!AC26</f>
        <v>0.13375796178343949</v>
      </c>
      <c r="AD119" s="54">
        <f>'S. BIENESTAR'!AD26</f>
        <v>360</v>
      </c>
      <c r="AE119" s="271">
        <f>'S. BIENESTAR'!AE26</f>
        <v>1.2738853503184714E-2</v>
      </c>
      <c r="AF119" s="54">
        <f>'S. BIENESTAR'!AF26</f>
        <v>6840</v>
      </c>
      <c r="AG119" s="249"/>
      <c r="AH119" s="249"/>
      <c r="AI119" s="249">
        <f t="shared" si="32"/>
        <v>0</v>
      </c>
      <c r="AJ119" s="268" t="str">
        <f>'S. BIENESTAR'!AJ26</f>
        <v>Corresponden al suministro de alimentarias y/o meriendas, mediante el sistema subsidiado, con destinos a los estudiantes matriculados de la Sede de Garzón de la Universidad Surcolombiana, desde el 09 de Febrero al  02 de Junio. Proyectadas de Abril a Junio a  6.840 raciones. (180 Diarias/150 Diarias en el 2016)  cumplimiento de 118% respecto a lo proyectado en el trimestre y    un 47%  del proyectado anual. Contrato UC-008-2017</v>
      </c>
      <c r="AK119" s="303">
        <f>'S. BIENESTAR'!AK26</f>
        <v>43329600</v>
      </c>
      <c r="AL119" s="303">
        <f>'S. BIENESTAR'!AL26</f>
        <v>43329600</v>
      </c>
      <c r="AM119" s="303">
        <f>'S. BIENESTAR'!AM26</f>
        <v>0</v>
      </c>
      <c r="AN119" s="54">
        <f>'S. BIENESTAR'!AN26</f>
        <v>0</v>
      </c>
      <c r="AO119" s="350">
        <f>'S. BIENESTAR'!AO26</f>
        <v>0</v>
      </c>
      <c r="AP119" s="54">
        <f>'S. BIENESTAR'!AP26</f>
        <v>3780</v>
      </c>
      <c r="AQ119" s="350">
        <f>'S. BIENESTAR'!AQ26</f>
        <v>37091.25</v>
      </c>
      <c r="AR119" s="54">
        <f>'S. BIENESTAR'!AR26</f>
        <v>3780</v>
      </c>
      <c r="AS119" s="350">
        <f>'S. BIENESTAR'!AS26</f>
        <v>37091.25</v>
      </c>
      <c r="AT119" s="54">
        <f>'S. BIENESTAR'!AT26</f>
        <v>7560</v>
      </c>
      <c r="AU119" s="363"/>
      <c r="AV119" s="363"/>
      <c r="AW119" s="363">
        <f t="shared" si="38"/>
        <v>0</v>
      </c>
      <c r="AX119" s="354" t="str">
        <f>'S. BIENESTAR'!AX26</f>
        <v>Corresponden al suministro de alimentarias y/o meriendas, mediante el sistema subsidiado, con destinos a los estudiantes matriculados de la Sede de Garzón el numero de raciones proyectadas tercer trimestre,    7740 versus las efectivamente entregadas   7560   (90%).Contrato UC-008-2017</v>
      </c>
    </row>
    <row r="120" spans="1:50" ht="40.5" customHeight="1" x14ac:dyDescent="0.25">
      <c r="A120" s="574"/>
      <c r="B120" s="630"/>
      <c r="C120" s="569"/>
      <c r="D120" s="2" t="s">
        <v>324</v>
      </c>
      <c r="E120" s="19"/>
      <c r="F120" s="4" t="s">
        <v>285</v>
      </c>
      <c r="G120" s="53"/>
      <c r="H120" s="4"/>
      <c r="I120" s="581"/>
      <c r="J120" s="581"/>
      <c r="K120" s="581"/>
      <c r="L120" s="54">
        <f>'S. BIENESTAR'!L27</f>
        <v>0</v>
      </c>
      <c r="M120" s="271">
        <f>'S. BIENESTAR'!M27</f>
        <v>0</v>
      </c>
      <c r="N120" s="54">
        <f>'S. BIENESTAR'!N27</f>
        <v>1800</v>
      </c>
      <c r="O120" s="271">
        <f>'S. BIENESTAR'!O27</f>
        <v>6.3694267515923567E-2</v>
      </c>
      <c r="P120" s="54">
        <f>'S. BIENESTAR'!P27</f>
        <v>3960</v>
      </c>
      <c r="Q120" s="271">
        <f>'S. BIENESTAR'!Q27</f>
        <v>0.14012738853503184</v>
      </c>
      <c r="R120" s="54">
        <f>'S. BIENESTAR'!R27</f>
        <v>5760</v>
      </c>
      <c r="S120" s="267"/>
      <c r="T120" s="267"/>
      <c r="U120" s="267">
        <f t="shared" si="40"/>
        <v>0</v>
      </c>
      <c r="V120" s="268" t="str">
        <f>'S. BIENESTAR'!V27</f>
        <v>Corresponden al suministro de alimentarias y/o meriendas, mediante el sistema subsidiado, con destinos a los estudiantes matriculados de la Sede de La Plata de la Universidad Surcolombiana, desde el 09 de Febrero al  02 de Junio. Proyectadas de Abril a Junio a  6.840 raciones. (180 Diarias/150 Diarias en el 2016)   cumplimiento de 123% respecto a lo proyectado en el trimestre y    un 40%  del proyectado anual.  Contrato UC-008-2017</v>
      </c>
      <c r="W120" s="303">
        <f>'S. BIENESTAR'!W27</f>
        <v>43329600</v>
      </c>
      <c r="X120" s="303">
        <f>'S. BIENESTAR'!X27</f>
        <v>22748040</v>
      </c>
      <c r="Y120" s="303">
        <f>'S. BIENESTAR'!Y27</f>
        <v>20581560</v>
      </c>
      <c r="Z120" s="54">
        <f>'S. BIENESTAR'!Z27</f>
        <v>1440</v>
      </c>
      <c r="AA120" s="271">
        <f>'S. BIENESTAR'!AA27</f>
        <v>5.0955414012738856E-2</v>
      </c>
      <c r="AB120" s="54">
        <f>'S. BIENESTAR'!AB27</f>
        <v>3780</v>
      </c>
      <c r="AC120" s="271">
        <f>'S. BIENESTAR'!AC27</f>
        <v>0.13375796178343949</v>
      </c>
      <c r="AD120" s="54">
        <f>'S. BIENESTAR'!AD27</f>
        <v>360</v>
      </c>
      <c r="AE120" s="271">
        <f>'S. BIENESTAR'!AE27</f>
        <v>1.2738853503184714E-2</v>
      </c>
      <c r="AF120" s="54">
        <f>'S. BIENESTAR'!AF27</f>
        <v>5580</v>
      </c>
      <c r="AG120" s="249"/>
      <c r="AH120" s="249"/>
      <c r="AI120" s="249">
        <f t="shared" si="32"/>
        <v>0</v>
      </c>
      <c r="AJ120" s="268" t="str">
        <f>'S. BIENESTAR'!AJ27</f>
        <v>Corresponden al suministro de alimentarias y/o meriendas, mediante el sistema subsidiado, con destinos a los estudiantes matriculados de la Sede de La Plata de la Universidad Surcolombiana, desde el 09 de Febrero al  02 de Junio. Proyectadas de Abril a Junio a  6.840 raciones. (180 Diarias/150 Diarias en el 2016)   cumplimiento de 123% respecto a lo proyectado en el trimestre y    un 40%  del proyectado anual.  Contrato UC-008-2017</v>
      </c>
      <c r="AK120" s="303">
        <f>'S. BIENESTAR'!AK27</f>
        <v>43329600</v>
      </c>
      <c r="AL120" s="303">
        <f>'S. BIENESTAR'!AL27</f>
        <v>36749920</v>
      </c>
      <c r="AM120" s="303">
        <f>'S. BIENESTAR'!AM27</f>
        <v>6579680</v>
      </c>
      <c r="AN120" s="54">
        <f>'S. BIENESTAR'!AN27</f>
        <v>0</v>
      </c>
      <c r="AO120" s="350">
        <f>'S. BIENESTAR'!AO27</f>
        <v>0</v>
      </c>
      <c r="AP120" s="54">
        <f>'S. BIENESTAR'!AP27</f>
        <v>3594</v>
      </c>
      <c r="AQ120" s="350">
        <f>'S. BIENESTAR'!AQ27</f>
        <v>35266.125</v>
      </c>
      <c r="AR120" s="54">
        <f>'S. BIENESTAR'!AR27</f>
        <v>3386</v>
      </c>
      <c r="AS120" s="350">
        <f>'S. BIENESTAR'!AS27</f>
        <v>33225.125</v>
      </c>
      <c r="AT120" s="54">
        <f>'S. BIENESTAR'!AT27</f>
        <v>6980</v>
      </c>
      <c r="AU120" s="363"/>
      <c r="AV120" s="363"/>
      <c r="AW120" s="363">
        <f t="shared" si="38"/>
        <v>0</v>
      </c>
      <c r="AX120" s="354" t="str">
        <f>'S. BIENESTAR'!AX27</f>
        <v>Corresponden al suministro de alimentarias y/o meriendas, mediante el sistema subsidiado, con destinos a los estudiantes matriculados de la Sede de La Plata de la Universidad Surcolombiana, Contrato UC-008-2017</v>
      </c>
    </row>
    <row r="121" spans="1:50" ht="37.5" customHeight="1" x14ac:dyDescent="0.25">
      <c r="A121" s="574"/>
      <c r="B121" s="630"/>
      <c r="C121" s="42" t="str">
        <f>Asignación!A109</f>
        <v>SB-PY5.2</v>
      </c>
      <c r="D121" s="2" t="str">
        <f>Asignación!B109</f>
        <v>Atención a población estudiantil en situación de extrema vulnerabilidad en las Sedes.</v>
      </c>
      <c r="E121" s="3">
        <f>Asignación!C108</f>
        <v>301</v>
      </c>
      <c r="F121" s="4" t="s">
        <v>285</v>
      </c>
      <c r="G121" s="329"/>
      <c r="H121" s="4"/>
      <c r="I121" s="5">
        <f>Asignación!K109</f>
        <v>30000000</v>
      </c>
      <c r="J121" s="5">
        <f>'S. BIENESTAR'!J28</f>
        <v>26964747</v>
      </c>
      <c r="K121" s="5">
        <f>I121-J121</f>
        <v>3035253</v>
      </c>
      <c r="L121" s="54">
        <f>'S. BIENESTAR'!L28</f>
        <v>0</v>
      </c>
      <c r="M121" s="271">
        <f>'S. BIENESTAR'!M28</f>
        <v>0</v>
      </c>
      <c r="N121" s="54">
        <f>'S. BIENESTAR'!N28</f>
        <v>0</v>
      </c>
      <c r="O121" s="271">
        <f>'S. BIENESTAR'!O28</f>
        <v>0</v>
      </c>
      <c r="P121" s="54">
        <f>'S. BIENESTAR'!P28</f>
        <v>188</v>
      </c>
      <c r="Q121" s="271">
        <f>'S. BIENESTAR'!Q28</f>
        <v>1.1823899371069182</v>
      </c>
      <c r="R121" s="54">
        <f>'S. BIENESTAR'!R28</f>
        <v>188</v>
      </c>
      <c r="S121" s="267">
        <f t="shared" ref="S121:S123" si="72">IFERROR((J121/I121),0)</f>
        <v>0.89882490000000004</v>
      </c>
      <c r="T121" s="267">
        <f t="shared" ref="T121:T123" si="73">IFERROR((M121+O121+Q121),0)</f>
        <v>1.1823899371069182</v>
      </c>
      <c r="U121" s="267">
        <f t="shared" si="40"/>
        <v>1.0406074185534591</v>
      </c>
      <c r="V121" s="237" t="str">
        <f>'S. BIENESTAR'!V28</f>
        <v>Teniendo en cuenta que este procedimiento es semestral, antes de recibir la relación se efectúa un cronograma de actividades en el cual se definió como fecha de entrega del informe de Estudios Socioeconómicos el 17 de Abril, se realizaron 25 entrevistas, 45 visitas domiciliarias en Neiva y en las Sedes de La Plata, Pitalito y Garzón, de las 210 solicitudes se aprobaron 182 por valor de $59.952.494 mediante resolución del 06 de Junio de 2017.</v>
      </c>
      <c r="W121" s="5">
        <f>'S. BIENESTAR'!W28</f>
        <v>30000000</v>
      </c>
      <c r="X121" s="5">
        <f>'S. BIENESTAR'!X28</f>
        <v>0</v>
      </c>
      <c r="Y121" s="5">
        <f>W121-X121</f>
        <v>30000000</v>
      </c>
      <c r="Z121" s="54">
        <f>'S. BIENESTAR'!Z28</f>
        <v>65</v>
      </c>
      <c r="AA121" s="271">
        <f>'S. BIENESTAR'!AA28</f>
        <v>0.4088050314465409</v>
      </c>
      <c r="AB121" s="54">
        <f>'S. BIENESTAR'!AB28</f>
        <v>0</v>
      </c>
      <c r="AC121" s="271">
        <f>'S. BIENESTAR'!AC28</f>
        <v>0</v>
      </c>
      <c r="AD121" s="54">
        <f>'S. BIENESTAR'!AD28</f>
        <v>0</v>
      </c>
      <c r="AE121" s="271">
        <f>'S. BIENESTAR'!AE28</f>
        <v>0</v>
      </c>
      <c r="AF121" s="54">
        <f>'S. BIENESTAR'!AF28</f>
        <v>65</v>
      </c>
      <c r="AG121" s="249">
        <f t="shared" ref="AG121" si="74">IFERROR((X121/W121),0)</f>
        <v>0</v>
      </c>
      <c r="AH121" s="249">
        <f t="shared" ref="AH121" si="75">IFERROR((AA121+AC121+AE121),0)</f>
        <v>0.4088050314465409</v>
      </c>
      <c r="AI121" s="249">
        <f t="shared" si="32"/>
        <v>0.20440251572327045</v>
      </c>
      <c r="AJ121" s="97" t="str">
        <f>'S. BIENESTAR'!AJ28</f>
        <v>Teniendo en cuenta que este procedimiento es semestral, antes de recibir la relación se efectúa un cronograma de actividades en el cual se definió como fecha de entrega del informe de Estudios Socioeconómicos el 17 de Abril, se realizaron 25 entrevistas, 45 visitas domiciliarias en Neiva y en las Sedes de La Plata, Pitalito y Garzón, de las 210 solicitudes se aprobaron 182 por valor de $59.952.494 mediante resolución del 06 de Junio de 2017.</v>
      </c>
      <c r="AK121" s="5">
        <f>'S. BIENESTAR'!AK28</f>
        <v>30000000</v>
      </c>
      <c r="AL121" s="5">
        <f>'S. BIENESTAR'!AL28</f>
        <v>51147697</v>
      </c>
      <c r="AM121" s="5">
        <f>'S. BIENESTAR'!AM28</f>
        <v>-21147697</v>
      </c>
      <c r="AN121" s="54">
        <f>'S. BIENESTAR'!AN28</f>
        <v>41</v>
      </c>
      <c r="AO121" s="350">
        <f>'S. BIENESTAR'!AO28</f>
        <v>39.400065066798973</v>
      </c>
      <c r="AP121" s="54">
        <f>'S. BIENESTAR'!AP28</f>
        <v>145</v>
      </c>
      <c r="AQ121" s="350">
        <f>'S. BIENESTAR'!AQ28</f>
        <v>139.3416935289232</v>
      </c>
      <c r="AR121" s="54">
        <f>'S. BIENESTAR'!AR28</f>
        <v>0</v>
      </c>
      <c r="AS121" s="350">
        <f>'S. BIENESTAR'!AS28</f>
        <v>0</v>
      </c>
      <c r="AT121" s="54">
        <f>'S. BIENESTAR'!AT28</f>
        <v>186</v>
      </c>
      <c r="AU121" s="363">
        <f t="shared" ref="AU121:AU123" si="76">IFERROR((AL121/AK121),0)</f>
        <v>1.7049232333333333</v>
      </c>
      <c r="AV121" s="363">
        <f t="shared" ref="AV121:AV123" si="77">IFERROR((AO121+AQ121+AS121),0)</f>
        <v>178.74175859572216</v>
      </c>
      <c r="AW121" s="363">
        <f t="shared" si="38"/>
        <v>90.223340914527753</v>
      </c>
      <c r="AX121" s="354" t="str">
        <f>'S. BIENESTAR'!AX28</f>
        <v xml:space="preserve">El 23 de Agosto se recibido la resolucion  de 238 solicitudes de estudiantes que efectuaran estudios socieconomicos, se realizo la lectura de todas las soliciutdes efectuando una matriz en xel en la cual estan los datros de los estudiantes que solicitan, que documentos adjuntan, o que se observa en los documentos y el concepto. En Agosot se realizaron 41 entrevistas y en Septiembre 145 y 30 visitas domiciliarias.  </v>
      </c>
    </row>
    <row r="122" spans="1:50" ht="33" customHeight="1" x14ac:dyDescent="0.25">
      <c r="A122" s="574"/>
      <c r="B122" s="630"/>
      <c r="C122" s="42" t="str">
        <f>Asignación!A110</f>
        <v>SB-PY5.3</v>
      </c>
      <c r="D122" s="2" t="str">
        <f>Asignación!B110</f>
        <v>Vinculación de estudiantes en procesos institucionales.</v>
      </c>
      <c r="E122" s="254">
        <f>Asignación!C109</f>
        <v>301</v>
      </c>
      <c r="F122" s="4" t="s">
        <v>285</v>
      </c>
      <c r="G122" s="329"/>
      <c r="H122" s="4"/>
      <c r="I122" s="5">
        <f>Asignación!K110</f>
        <v>84000000</v>
      </c>
      <c r="J122" s="5">
        <f>'S. BIENESTAR'!J29</f>
        <v>80042305</v>
      </c>
      <c r="K122" s="5">
        <f t="shared" ref="K122:K123" si="78">I122-J122</f>
        <v>3957695</v>
      </c>
      <c r="L122" s="54">
        <f>'S. BIENESTAR'!L29</f>
        <v>0</v>
      </c>
      <c r="M122" s="271">
        <f>'S. BIENESTAR'!M29</f>
        <v>0</v>
      </c>
      <c r="N122" s="54">
        <f>'S. BIENESTAR'!N29</f>
        <v>18</v>
      </c>
      <c r="O122" s="271">
        <f>'S. BIENESTAR'!O29</f>
        <v>0.6</v>
      </c>
      <c r="P122" s="54">
        <f>'S. BIENESTAR'!P29</f>
        <v>3</v>
      </c>
      <c r="Q122" s="271">
        <f>'S. BIENESTAR'!Q29</f>
        <v>0.1</v>
      </c>
      <c r="R122" s="54">
        <f>'S. BIENESTAR'!R29</f>
        <v>21</v>
      </c>
      <c r="S122" s="267">
        <f t="shared" si="72"/>
        <v>0.95288458333333337</v>
      </c>
      <c r="T122" s="267">
        <f t="shared" si="73"/>
        <v>0.7</v>
      </c>
      <c r="U122" s="267">
        <f t="shared" si="40"/>
        <v>0.82644229166666672</v>
      </c>
      <c r="V122" s="268" t="str">
        <f>'S. BIENESTAR'!V29</f>
        <v>Proyecto ejecutado presupuestalmente en un 97% en el primer trimestre, por lo cual no genero indicador</v>
      </c>
      <c r="W122" s="5">
        <f>'S. BIENESTAR'!W29</f>
        <v>87213154</v>
      </c>
      <c r="X122" s="5">
        <f>'S. BIENESTAR'!X29</f>
        <v>29069284</v>
      </c>
      <c r="Y122" s="5">
        <f>'S. BIENESTAR'!Y29</f>
        <v>58143870</v>
      </c>
      <c r="Z122" s="54">
        <f>'S. BIENESTAR'!Z29</f>
        <v>0</v>
      </c>
      <c r="AA122" s="271">
        <f>'S. BIENESTAR'!AA29</f>
        <v>0</v>
      </c>
      <c r="AB122" s="54">
        <f>'S. BIENESTAR'!AB29</f>
        <v>0</v>
      </c>
      <c r="AC122" s="271">
        <f>'S. BIENESTAR'!AC29</f>
        <v>0</v>
      </c>
      <c r="AD122" s="54">
        <f>'S. BIENESTAR'!AD29</f>
        <v>0</v>
      </c>
      <c r="AE122" s="271">
        <f>'S. BIENESTAR'!AE29</f>
        <v>0</v>
      </c>
      <c r="AF122" s="54">
        <f>'S. BIENESTAR'!AF29</f>
        <v>0</v>
      </c>
      <c r="AG122" s="249">
        <f t="shared" ref="AG122:AG123" si="79">IFERROR((X122/W122),0)</f>
        <v>0.3333130688061115</v>
      </c>
      <c r="AH122" s="249">
        <f t="shared" ref="AH122:AH123" si="80">IFERROR((AA122+AC122+AE122),0)</f>
        <v>0</v>
      </c>
      <c r="AI122" s="249">
        <f t="shared" si="32"/>
        <v>0.16665653440305575</v>
      </c>
      <c r="AJ122" s="268" t="str">
        <f>'S. BIENESTAR'!AJ29</f>
        <v>Proyecto ejecutado presupuestalmente en un 97% en el primer trimestre, por lo cual no genero indicador</v>
      </c>
      <c r="AK122" s="5">
        <f>'S. BIENESTAR'!AK29</f>
        <v>87213154</v>
      </c>
      <c r="AL122" s="5">
        <f>'S. BIENESTAR'!AL29</f>
        <v>83999999</v>
      </c>
      <c r="AM122" s="5">
        <f>'S. BIENESTAR'!AM29</f>
        <v>3213155</v>
      </c>
      <c r="AN122" s="54">
        <f>'S. BIENESTAR'!AN29</f>
        <v>0</v>
      </c>
      <c r="AO122" s="350">
        <f>'S. BIENESTAR'!AO29</f>
        <v>0</v>
      </c>
      <c r="AP122" s="54">
        <f>'S. BIENESTAR'!AP29</f>
        <v>1</v>
      </c>
      <c r="AQ122" s="350">
        <f>'S. BIENESTAR'!AQ29</f>
        <v>1.2100058407990273</v>
      </c>
      <c r="AR122" s="54">
        <f>'S. BIENESTAR'!AR29</f>
        <v>1</v>
      </c>
      <c r="AS122" s="350">
        <f>'S. BIENESTAR'!AS29</f>
        <v>1.2100058407990273</v>
      </c>
      <c r="AT122" s="54">
        <f>'S. BIENESTAR'!AT29</f>
        <v>2</v>
      </c>
      <c r="AU122" s="363">
        <f t="shared" si="76"/>
        <v>0.96315744984982421</v>
      </c>
      <c r="AV122" s="363">
        <f t="shared" si="77"/>
        <v>2.4200116815980546</v>
      </c>
      <c r="AW122" s="363">
        <f t="shared" si="38"/>
        <v>1.6915845657239394</v>
      </c>
      <c r="AX122" s="354" t="str">
        <f>'S. BIENESTAR'!AX29</f>
        <v>Cartas de compromisos de los estudiantes Juan Pablo Paredes Cabrera, como Judicante de la Oficna Juridica (Agosto) , y la estudiante Veronica Hurtado Cortes  de  Ingeniraria Electronica como Practicante en la Oficina de  Carnetizacion (Septiembre)</v>
      </c>
    </row>
    <row r="123" spans="1:50" ht="34.5" customHeight="1" x14ac:dyDescent="0.25">
      <c r="A123" s="574"/>
      <c r="B123" s="60" t="s">
        <v>330</v>
      </c>
      <c r="C123" s="42" t="str">
        <f>Asignación!A111</f>
        <v>SB-PY6.1</v>
      </c>
      <c r="D123" s="2" t="str">
        <f>Asignación!B111</f>
        <v>Permanencia y graduación estudiantil.</v>
      </c>
      <c r="E123" s="254">
        <f>Asignación!C110</f>
        <v>301</v>
      </c>
      <c r="F123" s="4" t="s">
        <v>285</v>
      </c>
      <c r="G123" s="331"/>
      <c r="H123" s="4"/>
      <c r="I123" s="5">
        <f>Asignación!K111</f>
        <v>50000000</v>
      </c>
      <c r="J123" s="5">
        <f>'S. BIENESTAR'!J30</f>
        <v>36096024</v>
      </c>
      <c r="K123" s="5">
        <f t="shared" si="78"/>
        <v>13903976</v>
      </c>
      <c r="L123" s="54">
        <f>'S. BIENESTAR'!L30</f>
        <v>0</v>
      </c>
      <c r="M123" s="271">
        <f>'S. BIENESTAR'!M30</f>
        <v>0</v>
      </c>
      <c r="N123" s="54">
        <f>'S. BIENESTAR'!N30</f>
        <v>0</v>
      </c>
      <c r="O123" s="271">
        <f>'S. BIENESTAR'!O30</f>
        <v>0</v>
      </c>
      <c r="P123" s="54">
        <f>'S. BIENESTAR'!P30</f>
        <v>0</v>
      </c>
      <c r="Q123" s="271">
        <f>'S. BIENESTAR'!Q30</f>
        <v>0</v>
      </c>
      <c r="R123" s="54">
        <f>'S. BIENESTAR'!R30</f>
        <v>0</v>
      </c>
      <c r="S123" s="267">
        <f t="shared" si="72"/>
        <v>0.72192047999999998</v>
      </c>
      <c r="T123" s="267">
        <f t="shared" si="73"/>
        <v>0</v>
      </c>
      <c r="U123" s="267">
        <f t="shared" si="40"/>
        <v>0.36096023999999999</v>
      </c>
      <c r="V123" s="268">
        <f>'S. BIENESTAR'!V30</f>
        <v>0</v>
      </c>
      <c r="W123" s="5">
        <f>'S. BIENESTAR'!W30</f>
        <v>50000000</v>
      </c>
      <c r="X123" s="5">
        <f>'S. BIENESTAR'!X30</f>
        <v>36096024</v>
      </c>
      <c r="Y123" s="5">
        <f>W123-X123</f>
        <v>13903976</v>
      </c>
      <c r="Z123" s="54">
        <f>'S. BIENESTAR'!Z30</f>
        <v>0</v>
      </c>
      <c r="AA123" s="271">
        <f>'S. BIENESTAR'!AA30</f>
        <v>0</v>
      </c>
      <c r="AB123" s="54">
        <f>'S. BIENESTAR'!AB30</f>
        <v>0</v>
      </c>
      <c r="AC123" s="271">
        <f>'S. BIENESTAR'!AC30</f>
        <v>0</v>
      </c>
      <c r="AD123" s="54">
        <f>'S. BIENESTAR'!AD30</f>
        <v>1456</v>
      </c>
      <c r="AE123" s="271">
        <f>'S. BIENESTAR'!AE30</f>
        <v>0.15512465373961218</v>
      </c>
      <c r="AF123" s="54">
        <f>'S. BIENESTAR'!AF30</f>
        <v>1456</v>
      </c>
      <c r="AG123" s="249">
        <f t="shared" si="79"/>
        <v>0.72192047999999998</v>
      </c>
      <c r="AH123" s="249">
        <f t="shared" si="80"/>
        <v>0.15512465373961218</v>
      </c>
      <c r="AI123" s="249">
        <f t="shared" si="32"/>
        <v>0.43852256686980606</v>
      </c>
      <c r="AJ123" s="268" t="str">
        <f>'S. BIENESTAR'!AJ30</f>
        <v>Medición Semestral. Programas de alertas tempranas dirigido a estudiantes del primer semestre</v>
      </c>
      <c r="AK123" s="5">
        <f>'S. BIENESTAR'!AK30</f>
        <v>50000000</v>
      </c>
      <c r="AL123" s="5">
        <f>'S. BIENESTAR'!AL30</f>
        <v>37538476</v>
      </c>
      <c r="AM123" s="5">
        <f>'S. BIENESTAR'!AM30</f>
        <v>12461524</v>
      </c>
      <c r="AN123" s="54">
        <f>'S. BIENESTAR'!AN30</f>
        <v>0</v>
      </c>
      <c r="AO123" s="350">
        <f>'S. BIENESTAR'!AO30</f>
        <v>0</v>
      </c>
      <c r="AP123" s="54">
        <f>'S. BIENESTAR'!AP30</f>
        <v>0</v>
      </c>
      <c r="AQ123" s="350">
        <f>'S. BIENESTAR'!AQ30</f>
        <v>0</v>
      </c>
      <c r="AR123" s="54">
        <f>'S. BIENESTAR'!AR30</f>
        <v>0</v>
      </c>
      <c r="AS123" s="350">
        <f>'S. BIENESTAR'!AS30</f>
        <v>0</v>
      </c>
      <c r="AT123" s="54">
        <f>'S. BIENESTAR'!AT30</f>
        <v>0</v>
      </c>
      <c r="AU123" s="363">
        <f t="shared" si="76"/>
        <v>0.75076951999999997</v>
      </c>
      <c r="AV123" s="363">
        <f t="shared" si="77"/>
        <v>0</v>
      </c>
      <c r="AW123" s="363">
        <f t="shared" si="38"/>
        <v>0.37538475999999998</v>
      </c>
      <c r="AX123" s="354">
        <f>'S. BIENESTAR'!AX30</f>
        <v>0</v>
      </c>
    </row>
    <row r="124" spans="1:50" s="17" customFormat="1" ht="21" customHeight="1" x14ac:dyDescent="0.25">
      <c r="A124" s="86"/>
      <c r="B124" s="580" t="s">
        <v>333</v>
      </c>
      <c r="C124" s="580"/>
      <c r="D124" s="580"/>
      <c r="E124" s="580"/>
      <c r="F124" s="580"/>
      <c r="G124" s="330"/>
      <c r="H124" s="56"/>
      <c r="I124" s="57">
        <f>SUM(I102:I123)</f>
        <v>2912307794</v>
      </c>
      <c r="J124" s="57">
        <f>SUM(J102:J123)</f>
        <v>1989545885</v>
      </c>
      <c r="K124" s="57">
        <f>SUM(K102:K123)</f>
        <v>922761909</v>
      </c>
      <c r="L124" s="16"/>
      <c r="M124" s="16"/>
      <c r="N124" s="16"/>
      <c r="O124" s="16"/>
      <c r="P124" s="16"/>
      <c r="Q124" s="16"/>
      <c r="R124" s="16"/>
      <c r="S124" s="16"/>
      <c r="T124" s="16"/>
      <c r="U124" s="16"/>
      <c r="V124" s="16"/>
      <c r="W124" s="57">
        <f>SUM(W102:W123)</f>
        <v>3060839833</v>
      </c>
      <c r="X124" s="57">
        <f>SUM(X102:X123)</f>
        <v>1515071504</v>
      </c>
      <c r="Y124" s="57">
        <f>SUM(Y102:Y123)</f>
        <v>1545768329</v>
      </c>
      <c r="Z124" s="16"/>
      <c r="AA124" s="16"/>
      <c r="AB124" s="16"/>
      <c r="AC124" s="16"/>
      <c r="AD124" s="16"/>
      <c r="AE124" s="16"/>
      <c r="AF124" s="16"/>
      <c r="AG124" s="16"/>
      <c r="AH124" s="16"/>
      <c r="AI124" s="16"/>
      <c r="AJ124" s="16"/>
      <c r="AK124" s="57">
        <f>SUM(AK102:AK123)</f>
        <v>3060839833</v>
      </c>
      <c r="AL124" s="57">
        <f>SUM(AL102:AL123)</f>
        <v>2516376726</v>
      </c>
      <c r="AM124" s="57">
        <f>SUM(AM102:AM123)</f>
        <v>544463107</v>
      </c>
      <c r="AN124" s="16"/>
      <c r="AO124" s="16"/>
      <c r="AP124" s="16"/>
      <c r="AQ124" s="16"/>
      <c r="AR124" s="16"/>
      <c r="AS124" s="16"/>
      <c r="AT124" s="16"/>
      <c r="AU124" s="16"/>
      <c r="AV124" s="16"/>
      <c r="AW124" s="16"/>
      <c r="AX124" s="16"/>
    </row>
    <row r="125" spans="1:50" s="28" customFormat="1" ht="25.5" x14ac:dyDescent="0.25">
      <c r="A125" s="87"/>
      <c r="B125" s="624" t="s">
        <v>335</v>
      </c>
      <c r="C125" s="80" t="str">
        <f>Asignación!A113</f>
        <v>SA-PY 1.1</v>
      </c>
      <c r="D125" s="265" t="str">
        <f>Asignación!B113</f>
        <v>Apoyo a la movilidad académica de docentes, estudiantes y personal administrativo y expertos invitados.</v>
      </c>
      <c r="E125" s="265">
        <f>Asignación!C113</f>
        <v>510</v>
      </c>
      <c r="F125" s="82" t="s">
        <v>285</v>
      </c>
      <c r="G125" s="85"/>
      <c r="H125" s="85"/>
      <c r="I125" s="101"/>
      <c r="J125" s="101"/>
      <c r="K125" s="101">
        <f>I125-J125</f>
        <v>0</v>
      </c>
      <c r="L125" s="45">
        <f>'S. ADMINISTRATIVO'!N8</f>
        <v>0</v>
      </c>
      <c r="M125" s="102">
        <f>'S. ADMINISTRATIVO'!O8</f>
        <v>0</v>
      </c>
      <c r="N125" s="45">
        <f>'S. ADMINISTRATIVO'!P8</f>
        <v>0</v>
      </c>
      <c r="O125" s="102">
        <f>'S. ADMINISTRATIVO'!Q8</f>
        <v>0</v>
      </c>
      <c r="P125" s="45">
        <f>'S. ADMINISTRATIVO'!R8</f>
        <v>0</v>
      </c>
      <c r="Q125" s="102">
        <f>'S. ADMINISTRATIVO'!S8</f>
        <v>0</v>
      </c>
      <c r="R125" s="45">
        <f>'S. ADMINISTRATIVO'!T8</f>
        <v>0</v>
      </c>
      <c r="S125" s="267">
        <f>'S. ADMINISTRATIVO'!S8</f>
        <v>0</v>
      </c>
      <c r="T125" s="267">
        <f>'S. ADMINISTRATIVO'!T8</f>
        <v>0</v>
      </c>
      <c r="U125" s="267">
        <f>'S. ADMINISTRATIVO'!U8</f>
        <v>0</v>
      </c>
      <c r="V125" s="27"/>
      <c r="W125" s="101">
        <f>'S. ADMINISTRATIVO'!W8</f>
        <v>1500000</v>
      </c>
      <c r="X125" s="101">
        <f>'S. ADMINISTRATIVO'!X8</f>
        <v>0</v>
      </c>
      <c r="Y125" s="101">
        <f>W125-X125</f>
        <v>1500000</v>
      </c>
      <c r="Z125" s="45">
        <f>'S. ADMINISTRATIVO'!Z8</f>
        <v>0</v>
      </c>
      <c r="AA125" s="102">
        <f>'S. ADMINISTRATIVO'!AA8</f>
        <v>0</v>
      </c>
      <c r="AB125" s="45">
        <f>'S. ADMINISTRATIVO'!AB8</f>
        <v>0</v>
      </c>
      <c r="AC125" s="102">
        <f>'S. ADMINISTRATIVO'!AC8</f>
        <v>0</v>
      </c>
      <c r="AD125" s="45">
        <f>'S. ADMINISTRATIVO'!AD8</f>
        <v>0</v>
      </c>
      <c r="AE125" s="102">
        <f>'S. ADMINISTRATIVO'!AE8</f>
        <v>0</v>
      </c>
      <c r="AF125" s="45">
        <f>'S. ADMINISTRATIVO'!AF8</f>
        <v>0</v>
      </c>
      <c r="AG125" s="249">
        <f t="shared" ref="AG125" si="81">IFERROR((X125/W125),0)</f>
        <v>0</v>
      </c>
      <c r="AH125" s="249">
        <f t="shared" ref="AH125" si="82">IFERROR((AA125+AC125+AE125),0)</f>
        <v>0</v>
      </c>
      <c r="AI125" s="249">
        <f t="shared" si="32"/>
        <v>0</v>
      </c>
      <c r="AJ125" s="278">
        <f>'S. ADMINISTRATIVO'!AJ8</f>
        <v>0</v>
      </c>
      <c r="AK125" s="101">
        <f>'S. ADMINISTRATIVO'!AK8</f>
        <v>1500000</v>
      </c>
      <c r="AL125" s="101">
        <f>'S. ADMINISTRATIVO'!AL8</f>
        <v>0</v>
      </c>
      <c r="AM125" s="101">
        <f>'S. ADMINISTRATIVO'!AM8</f>
        <v>1500000</v>
      </c>
      <c r="AN125" s="45">
        <f>'S. ADMINISTRATIVO'!AN8</f>
        <v>0</v>
      </c>
      <c r="AO125" s="102">
        <f>'S. ADMINISTRATIVO'!AO8</f>
        <v>0</v>
      </c>
      <c r="AP125" s="45">
        <f>'S. ADMINISTRATIVO'!AP8</f>
        <v>0</v>
      </c>
      <c r="AQ125" s="102">
        <f>'S. ADMINISTRATIVO'!AQ8</f>
        <v>0</v>
      </c>
      <c r="AR125" s="45">
        <f>'S. ADMINISTRATIVO'!AR8</f>
        <v>0</v>
      </c>
      <c r="AS125" s="102">
        <f>'S. ADMINISTRATIVO'!AS8</f>
        <v>0</v>
      </c>
      <c r="AT125" s="45">
        <f>'S. ADMINISTRATIVO'!AT8</f>
        <v>0</v>
      </c>
      <c r="AU125" s="363">
        <f t="shared" ref="AU125:AU144" si="83">IFERROR((AL125/AK125),0)</f>
        <v>0</v>
      </c>
      <c r="AV125" s="363">
        <f t="shared" ref="AV125:AV144" si="84">IFERROR((AO125+AQ125+AS125),0)</f>
        <v>0</v>
      </c>
      <c r="AW125" s="363">
        <f t="shared" ref="AW125:AW144" si="85">(AU125+AV125)/2</f>
        <v>0</v>
      </c>
      <c r="AX125" s="278">
        <f>'S. ADMINISTRATIVO'!AX8</f>
        <v>0</v>
      </c>
    </row>
    <row r="126" spans="1:50" s="28" customFormat="1" ht="60" x14ac:dyDescent="0.25">
      <c r="A126" s="87"/>
      <c r="B126" s="625"/>
      <c r="C126" s="80" t="s">
        <v>419</v>
      </c>
      <c r="D126" s="238" t="s">
        <v>416</v>
      </c>
      <c r="E126" s="58">
        <v>510</v>
      </c>
      <c r="F126" s="81" t="s">
        <v>340</v>
      </c>
      <c r="G126" s="85"/>
      <c r="H126" s="85"/>
      <c r="I126" s="101"/>
      <c r="J126" s="101"/>
      <c r="K126" s="101">
        <f t="shared" ref="K126:K144" si="86">I126-J126</f>
        <v>0</v>
      </c>
      <c r="L126" s="45">
        <f>'S. ADMINISTRATIVO'!N9</f>
        <v>0</v>
      </c>
      <c r="M126" s="102">
        <f>'S. ADMINISTRATIVO'!O9</f>
        <v>0</v>
      </c>
      <c r="N126" s="45">
        <f>'S. ADMINISTRATIVO'!P9</f>
        <v>0</v>
      </c>
      <c r="O126" s="102">
        <f>'S. ADMINISTRATIVO'!Q9</f>
        <v>0</v>
      </c>
      <c r="P126" s="45">
        <f>'S. ADMINISTRATIVO'!R9</f>
        <v>0</v>
      </c>
      <c r="Q126" s="102">
        <f>'S. ADMINISTRATIVO'!S9</f>
        <v>0</v>
      </c>
      <c r="R126" s="45">
        <f>'S. ADMINISTRATIVO'!T9</f>
        <v>0.15</v>
      </c>
      <c r="S126" s="267">
        <f>'S. ADMINISTRATIVO'!S9</f>
        <v>0</v>
      </c>
      <c r="T126" s="267">
        <f>'S. ADMINISTRATIVO'!T9</f>
        <v>0.15</v>
      </c>
      <c r="U126" s="267">
        <f>'S. ADMINISTRATIVO'!U9</f>
        <v>7.4999999999999997E-2</v>
      </c>
      <c r="V126" s="27"/>
      <c r="W126" s="101">
        <f>'S. ADMINISTRATIVO'!W9</f>
        <v>1000000</v>
      </c>
      <c r="X126" s="101">
        <f>'S. ADMINISTRATIVO'!X9</f>
        <v>0</v>
      </c>
      <c r="Y126" s="101">
        <f t="shared" ref="Y126:Y144" si="87">W126-X126</f>
        <v>1000000</v>
      </c>
      <c r="Z126" s="45">
        <f>'S. ADMINISTRATIVO'!Z9</f>
        <v>0</v>
      </c>
      <c r="AA126" s="102">
        <f>'S. ADMINISTRATIVO'!AA9</f>
        <v>0</v>
      </c>
      <c r="AB126" s="45">
        <f>'S. ADMINISTRATIVO'!AB9</f>
        <v>0</v>
      </c>
      <c r="AC126" s="102">
        <f>'S. ADMINISTRATIVO'!AC9</f>
        <v>0</v>
      </c>
      <c r="AD126" s="45">
        <f>'S. ADMINISTRATIVO'!AD9</f>
        <v>0</v>
      </c>
      <c r="AE126" s="102">
        <f>'S. ADMINISTRATIVO'!AE9</f>
        <v>0</v>
      </c>
      <c r="AF126" s="45">
        <f>'S. ADMINISTRATIVO'!AF9</f>
        <v>0</v>
      </c>
      <c r="AG126" s="249">
        <f t="shared" ref="AG126:AG144" si="88">IFERROR((X126/W126),0)</f>
        <v>0</v>
      </c>
      <c r="AH126" s="249">
        <f t="shared" ref="AH126:AH144" si="89">IFERROR((AA126+AC126+AE126),0)</f>
        <v>0</v>
      </c>
      <c r="AI126" s="249">
        <f t="shared" si="32"/>
        <v>0</v>
      </c>
      <c r="AJ126" s="278">
        <f>'S. ADMINISTRATIVO'!AJ9</f>
        <v>0</v>
      </c>
      <c r="AK126" s="101">
        <f>'S. ADMINISTRATIVO'!AK9</f>
        <v>1000000</v>
      </c>
      <c r="AL126" s="101">
        <f>'S. ADMINISTRATIVO'!AL9</f>
        <v>0</v>
      </c>
      <c r="AM126" s="101">
        <f>'S. ADMINISTRATIVO'!AM9</f>
        <v>1000000</v>
      </c>
      <c r="AN126" s="45">
        <f>'S. ADMINISTRATIVO'!AN9</f>
        <v>0</v>
      </c>
      <c r="AO126" s="102">
        <f>'S. ADMINISTRATIVO'!AO9</f>
        <v>0</v>
      </c>
      <c r="AP126" s="45">
        <f>'S. ADMINISTRATIVO'!AP9</f>
        <v>0</v>
      </c>
      <c r="AQ126" s="102">
        <f>'S. ADMINISTRATIVO'!AQ9</f>
        <v>0</v>
      </c>
      <c r="AR126" s="45">
        <f>'S. ADMINISTRATIVO'!AR9</f>
        <v>0</v>
      </c>
      <c r="AS126" s="102">
        <f>'S. ADMINISTRATIVO'!AS9</f>
        <v>0</v>
      </c>
      <c r="AT126" s="45">
        <f>'S. ADMINISTRATIVO'!AT9</f>
        <v>0</v>
      </c>
      <c r="AU126" s="363">
        <f t="shared" si="83"/>
        <v>0</v>
      </c>
      <c r="AV126" s="363">
        <f t="shared" si="84"/>
        <v>0</v>
      </c>
      <c r="AW126" s="363">
        <f t="shared" si="85"/>
        <v>0</v>
      </c>
      <c r="AX126" s="278">
        <f>'S. ADMINISTRATIVO'!AX9</f>
        <v>0</v>
      </c>
    </row>
    <row r="127" spans="1:50" s="28" customFormat="1" ht="30" x14ac:dyDescent="0.25">
      <c r="A127" s="87"/>
      <c r="B127" s="626"/>
      <c r="C127" s="80" t="s">
        <v>420</v>
      </c>
      <c r="D127" s="238" t="s">
        <v>417</v>
      </c>
      <c r="E127" s="58">
        <v>510</v>
      </c>
      <c r="F127" s="81" t="s">
        <v>343</v>
      </c>
      <c r="G127" s="85"/>
      <c r="H127" s="85"/>
      <c r="I127" s="101"/>
      <c r="J127" s="101"/>
      <c r="K127" s="101">
        <f t="shared" si="86"/>
        <v>0</v>
      </c>
      <c r="L127" s="45">
        <f>'S. ADMINISTRATIVO'!N10</f>
        <v>0</v>
      </c>
      <c r="M127" s="102">
        <f>'S. ADMINISTRATIVO'!O10</f>
        <v>0</v>
      </c>
      <c r="N127" s="45">
        <f>'S. ADMINISTRATIVO'!P10</f>
        <v>0</v>
      </c>
      <c r="O127" s="102">
        <f>'S. ADMINISTRATIVO'!Q10</f>
        <v>0</v>
      </c>
      <c r="P127" s="45">
        <f>'S. ADMINISTRATIVO'!R10</f>
        <v>0</v>
      </c>
      <c r="Q127" s="102">
        <f>'S. ADMINISTRATIVO'!S10</f>
        <v>0</v>
      </c>
      <c r="R127" s="45">
        <f>'S. ADMINISTRATIVO'!T10</f>
        <v>0</v>
      </c>
      <c r="S127" s="267">
        <f>'S. ADMINISTRATIVO'!S10</f>
        <v>0</v>
      </c>
      <c r="T127" s="267">
        <f>'S. ADMINISTRATIVO'!T10</f>
        <v>0</v>
      </c>
      <c r="U127" s="267">
        <f>'S. ADMINISTRATIVO'!U10</f>
        <v>0</v>
      </c>
      <c r="V127" s="27"/>
      <c r="W127" s="101">
        <f>'S. ADMINISTRATIVO'!W10</f>
        <v>2000000</v>
      </c>
      <c r="X127" s="101">
        <f>'S. ADMINISTRATIVO'!X10</f>
        <v>0</v>
      </c>
      <c r="Y127" s="101">
        <f t="shared" si="87"/>
        <v>2000000</v>
      </c>
      <c r="Z127" s="45">
        <f>'S. ADMINISTRATIVO'!Z10</f>
        <v>0</v>
      </c>
      <c r="AA127" s="102">
        <f>'S. ADMINISTRATIVO'!AA10</f>
        <v>0</v>
      </c>
      <c r="AB127" s="45">
        <f>'S. ADMINISTRATIVO'!AB10</f>
        <v>0</v>
      </c>
      <c r="AC127" s="102">
        <f>'S. ADMINISTRATIVO'!AC10</f>
        <v>0</v>
      </c>
      <c r="AD127" s="45">
        <f>'S. ADMINISTRATIVO'!AD10</f>
        <v>0</v>
      </c>
      <c r="AE127" s="102">
        <f>'S. ADMINISTRATIVO'!AE10</f>
        <v>0</v>
      </c>
      <c r="AF127" s="45">
        <f>'S. ADMINISTRATIVO'!AF10</f>
        <v>0</v>
      </c>
      <c r="AG127" s="249">
        <f t="shared" si="88"/>
        <v>0</v>
      </c>
      <c r="AH127" s="249">
        <f t="shared" si="89"/>
        <v>0</v>
      </c>
      <c r="AI127" s="249">
        <f t="shared" si="32"/>
        <v>0</v>
      </c>
      <c r="AJ127" s="278">
        <f>'S. ADMINISTRATIVO'!AJ10</f>
        <v>0</v>
      </c>
      <c r="AK127" s="101">
        <f>'S. ADMINISTRATIVO'!AK10</f>
        <v>2000000</v>
      </c>
      <c r="AL127" s="101">
        <f>'S. ADMINISTRATIVO'!AL10</f>
        <v>0</v>
      </c>
      <c r="AM127" s="101">
        <f>'S. ADMINISTRATIVO'!AM10</f>
        <v>2000000</v>
      </c>
      <c r="AN127" s="45">
        <f>'S. ADMINISTRATIVO'!AN10</f>
        <v>0</v>
      </c>
      <c r="AO127" s="102">
        <f>'S. ADMINISTRATIVO'!AO10</f>
        <v>0</v>
      </c>
      <c r="AP127" s="45">
        <f>'S. ADMINISTRATIVO'!AP10</f>
        <v>0</v>
      </c>
      <c r="AQ127" s="102">
        <f>'S. ADMINISTRATIVO'!AQ10</f>
        <v>0</v>
      </c>
      <c r="AR127" s="45">
        <f>'S. ADMINISTRATIVO'!AR10</f>
        <v>0</v>
      </c>
      <c r="AS127" s="102">
        <f>'S. ADMINISTRATIVO'!AS10</f>
        <v>0</v>
      </c>
      <c r="AT127" s="45">
        <f>'S. ADMINISTRATIVO'!AT10</f>
        <v>0</v>
      </c>
      <c r="AU127" s="363">
        <f t="shared" si="83"/>
        <v>0</v>
      </c>
      <c r="AV127" s="363">
        <f t="shared" si="84"/>
        <v>0</v>
      </c>
      <c r="AW127" s="363">
        <f t="shared" si="85"/>
        <v>0</v>
      </c>
      <c r="AX127" s="278">
        <f>'S. ADMINISTRATIVO'!AX10</f>
        <v>0</v>
      </c>
    </row>
    <row r="128" spans="1:50" ht="45" x14ac:dyDescent="0.25">
      <c r="A128" s="608" t="s">
        <v>334</v>
      </c>
      <c r="B128" s="535" t="s">
        <v>335</v>
      </c>
      <c r="C128" s="42" t="str">
        <f>Asignación!A114</f>
        <v>SA-PY2a.1</v>
      </c>
      <c r="D128" s="2" t="str">
        <f>Asignación!B114</f>
        <v>Construcción de infraestructura física en todas las Sedes.</v>
      </c>
      <c r="E128" s="255">
        <f>Asignación!C114</f>
        <v>111</v>
      </c>
      <c r="F128" s="4" t="s">
        <v>285</v>
      </c>
      <c r="G128" s="331"/>
      <c r="H128" s="4"/>
      <c r="I128" s="101">
        <f>Asignación!K114</f>
        <v>1028515825</v>
      </c>
      <c r="J128" s="101">
        <f>'S. ADMINISTRATIVO'!J11</f>
        <v>0</v>
      </c>
      <c r="K128" s="101">
        <f t="shared" si="86"/>
        <v>1028515825</v>
      </c>
      <c r="L128" s="46">
        <f>'S. ADMINISTRATIVO'!L11</f>
        <v>0</v>
      </c>
      <c r="M128" s="46">
        <f>'S. ADMINISTRATIVO'!M11</f>
        <v>0</v>
      </c>
      <c r="N128" s="46">
        <f>'S. ADMINISTRATIVO'!N11</f>
        <v>0</v>
      </c>
      <c r="O128" s="46">
        <f>'S. ADMINISTRATIVO'!O11</f>
        <v>0</v>
      </c>
      <c r="P128" s="46">
        <f>'S. ADMINISTRATIVO'!P11</f>
        <v>0</v>
      </c>
      <c r="Q128" s="46">
        <f>'S. ADMINISTRATIVO'!Q11</f>
        <v>0</v>
      </c>
      <c r="R128" s="46">
        <f>'S. ADMINISTRATIVO'!R11</f>
        <v>0</v>
      </c>
      <c r="S128" s="267">
        <f>'S. ADMINISTRATIVO'!S11</f>
        <v>0.18490000000000001</v>
      </c>
      <c r="T128" s="267">
        <f>'S. ADMINISTRATIVO'!T11</f>
        <v>0</v>
      </c>
      <c r="U128" s="267">
        <f>'S. ADMINISTRATIVO'!U11</f>
        <v>9.2450000000000004E-2</v>
      </c>
      <c r="V128" s="7">
        <f>'S. ADMINISTRATIVO'!V11</f>
        <v>0</v>
      </c>
      <c r="W128" s="101">
        <f>'S. ADMINISTRATIVO'!W11</f>
        <v>575338316</v>
      </c>
      <c r="X128" s="101">
        <f>'S. ADMINISTRATIVO'!X11</f>
        <v>0</v>
      </c>
      <c r="Y128" s="101">
        <f t="shared" si="87"/>
        <v>575338316</v>
      </c>
      <c r="Z128" s="45">
        <f>'S. ADMINISTRATIVO'!Z11</f>
        <v>0</v>
      </c>
      <c r="AA128" s="102">
        <f>'S. ADMINISTRATIVO'!AA11</f>
        <v>0</v>
      </c>
      <c r="AB128" s="45">
        <f>'S. ADMINISTRATIVO'!AB11</f>
        <v>0</v>
      </c>
      <c r="AC128" s="102">
        <f>'S. ADMINISTRATIVO'!AC11</f>
        <v>0</v>
      </c>
      <c r="AD128" s="45">
        <f>'S. ADMINISTRATIVO'!AD11</f>
        <v>0</v>
      </c>
      <c r="AE128" s="102">
        <f>'S. ADMINISTRATIVO'!AE11</f>
        <v>0</v>
      </c>
      <c r="AF128" s="45">
        <f>'S. ADMINISTRATIVO'!AF11</f>
        <v>0</v>
      </c>
      <c r="AG128" s="249">
        <f t="shared" si="88"/>
        <v>0</v>
      </c>
      <c r="AH128" s="249">
        <f t="shared" si="89"/>
        <v>0</v>
      </c>
      <c r="AI128" s="249">
        <f t="shared" si="32"/>
        <v>0</v>
      </c>
      <c r="AJ128" s="278">
        <f>'S. ADMINISTRATIVO'!AJ11</f>
        <v>0</v>
      </c>
      <c r="AK128" s="101">
        <f>'S. ADMINISTRATIVO'!AK11</f>
        <v>575338316</v>
      </c>
      <c r="AL128" s="101">
        <f>'S. ADMINISTRATIVO'!AL11</f>
        <v>141978128</v>
      </c>
      <c r="AM128" s="101">
        <f>'S. ADMINISTRATIVO'!AM11</f>
        <v>433360188</v>
      </c>
      <c r="AN128" s="45">
        <f>'S. ADMINISTRATIVO'!AN11</f>
        <v>0.25</v>
      </c>
      <c r="AO128" s="102">
        <f>'S. ADMINISTRATIVO'!AO11</f>
        <v>2.7041644131963221</v>
      </c>
      <c r="AP128" s="45">
        <f>'S. ADMINISTRATIVO'!AP11</f>
        <v>0</v>
      </c>
      <c r="AQ128" s="102">
        <f>'S. ADMINISTRATIVO'!AQ11</f>
        <v>0</v>
      </c>
      <c r="AR128" s="45">
        <f>'S. ADMINISTRATIVO'!AR11</f>
        <v>0</v>
      </c>
      <c r="AS128" s="102">
        <f>'S. ADMINISTRATIVO'!AS11</f>
        <v>0</v>
      </c>
      <c r="AT128" s="45">
        <f>'S. ADMINISTRATIVO'!AT11</f>
        <v>0.25</v>
      </c>
      <c r="AU128" s="363">
        <f t="shared" si="83"/>
        <v>0.24677328808394539</v>
      </c>
      <c r="AV128" s="363">
        <f t="shared" si="84"/>
        <v>2.7041644131963221</v>
      </c>
      <c r="AW128" s="363">
        <f t="shared" si="85"/>
        <v>1.4754688506401337</v>
      </c>
      <c r="AX128" s="278" t="str">
        <f>'S. ADMINISTRATIVO'!AX11</f>
        <v>Se realizó adición al Contrato de Obra, talleres y archivo de la Sede Central de la Universidad Surcolombiana. (Reposa en el archivo del proceso en la Unidad de Contratación)</v>
      </c>
    </row>
    <row r="129" spans="1:50" s="28" customFormat="1" ht="69" customHeight="1" x14ac:dyDescent="0.25">
      <c r="A129" s="611"/>
      <c r="B129" s="536"/>
      <c r="C129" s="255" t="str">
        <f>Asignación!A115</f>
        <v>SA-PY2a.2</v>
      </c>
      <c r="D129" s="2" t="str">
        <f>Asignación!B115</f>
        <v>Adecuaciones, mantenimientos y mejoras en infraestructura de todas las sedes.</v>
      </c>
      <c r="E129" s="255">
        <f>Asignación!C115</f>
        <v>111</v>
      </c>
      <c r="F129" s="4" t="s">
        <v>340</v>
      </c>
      <c r="G129" s="331"/>
      <c r="H129" s="4"/>
      <c r="I129" s="101">
        <f>Asignación!K115</f>
        <v>1046603203</v>
      </c>
      <c r="J129" s="101">
        <f>'S. ADMINISTRATIVO'!J12</f>
        <v>193491810</v>
      </c>
      <c r="K129" s="101">
        <f t="shared" si="86"/>
        <v>853111393</v>
      </c>
      <c r="L129" s="46">
        <f>'S. ADMINISTRATIVO'!L12</f>
        <v>325</v>
      </c>
      <c r="M129" s="46">
        <f>'S. ADMINISTRATIVO'!M12</f>
        <v>9.8484848484848481E-2</v>
      </c>
      <c r="N129" s="46">
        <f>'S. ADMINISTRATIVO'!N12</f>
        <v>127</v>
      </c>
      <c r="O129" s="46">
        <f>'S. ADMINISTRATIVO'!O12</f>
        <v>3.8484848484848483E-2</v>
      </c>
      <c r="P129" s="46">
        <f>'S. ADMINISTRATIVO'!P12</f>
        <v>0</v>
      </c>
      <c r="Q129" s="46">
        <f>'S. ADMINISTRATIVO'!Q12</f>
        <v>0</v>
      </c>
      <c r="R129" s="46">
        <f>'S. ADMINISTRATIVO'!R12</f>
        <v>452</v>
      </c>
      <c r="S129" s="267">
        <f>'S. ADMINISTRATIVO'!S12</f>
        <v>0.11496408487613288</v>
      </c>
      <c r="T129" s="267">
        <f>'S. ADMINISTRATIVO'!T12</f>
        <v>0.05</v>
      </c>
      <c r="U129" s="267">
        <f>'S. ADMINISTRATIVO'!U12</f>
        <v>8.248204243806645E-2</v>
      </c>
      <c r="V129" s="7" t="str">
        <f>'S. ADMINISTRATIVO'!V12</f>
        <v xml:space="preserve">*REALIZACIÓN DE LA INTERVENTORIA TECNICA, ADMINISTRATIVA Y FINANCIERA AL CONTRATO DE OBRA CONSTRUCCION IV PISO LABORATORIO CIENCIAS BASICAS.                      *LA ADECUACION, REPARACION E INSTALACION DE INFRAESTRUCTURA FISICA PARA SALONES SEDE CENTRAL Y PARQUEADERO AUTOMOTOR.                                                                              *ADICIÓN A CONTRATO DE OBRA UC-004 DE 2017 PARA ADECUACION, REPARACION E INSTALACION DE INFRAESTRUCTURA FISICA.                                                                                  *ADICION A CONTRATO DE OBRA UC-059 DE 2016 PARA COMPRA E INSTALACION DE PLANTA ELECTRICA CON DESTINO A LA GRANJA.       (Todo lo anterior reposa en el archivo de los procesos en la Unidad de Contratación)                                                                                                                                 *SE REALIZARON ADECUACIONES LOCATIVAS EN EL EDIFICIO DE LA FACULTAD DE ECONOMIA Y ADMINISTRACION. </v>
      </c>
      <c r="W129" s="101">
        <f>'S. ADMINISTRATIVO'!W12</f>
        <v>1683063108</v>
      </c>
      <c r="X129" s="101">
        <f>'S. ADMINISTRATIVO'!X12</f>
        <v>597997393</v>
      </c>
      <c r="Y129" s="101">
        <f t="shared" si="87"/>
        <v>1085065715</v>
      </c>
      <c r="Z129" s="45">
        <f>'S. ADMINISTRATIVO'!Z12</f>
        <v>100</v>
      </c>
      <c r="AA129" s="102">
        <f>'S. ADMINISTRATIVO'!AA12</f>
        <v>3.0303030303030304E-2</v>
      </c>
      <c r="AB129" s="45">
        <f>'S. ADMINISTRATIVO'!AB12</f>
        <v>320</v>
      </c>
      <c r="AC129" s="102">
        <f>'S. ADMINISTRATIVO'!AC12</f>
        <v>9.696969696969697E-2</v>
      </c>
      <c r="AD129" s="45">
        <f>'S. ADMINISTRATIVO'!AD12</f>
        <v>255</v>
      </c>
      <c r="AE129" s="102">
        <f>'S. ADMINISTRATIVO'!AE12</f>
        <v>7.7272727272727271E-2</v>
      </c>
      <c r="AF129" s="45">
        <f>'S. ADMINISTRATIVO'!AF12</f>
        <v>675</v>
      </c>
      <c r="AG129" s="249">
        <f t="shared" si="88"/>
        <v>0.35530301279706977</v>
      </c>
      <c r="AH129" s="249">
        <f t="shared" si="89"/>
        <v>0.20454545454545453</v>
      </c>
      <c r="AI129" s="249">
        <f t="shared" si="32"/>
        <v>0.27992423367126218</v>
      </c>
      <c r="AJ129" s="278" t="str">
        <f>'S. ADMINISTRATIVO'!AJ12</f>
        <v xml:space="preserve">*SE REALIZARON: ADECUACION, MANTENIMIENTO Y MEJORAS DE INFRAESTRUSTURA DE TODAS LAS SEDES                                                                                                        *ADECUACION DE AULAS Y SALA DE AUDIENCIAS DE PROGRAMA DE DERECHO DE LA FACULTAD DE CIENCIAS JURIDICAS USCO.                                                                                             *CONSTRUCCION Y CUBIERTA DE TANQUE PROFUNDO, CERRAMIENTO EN MALLA Y ANDEN PERIMETRAL UBICADO EN LA GRANJA EXPERIMENTAL USCO.                                                                     * SUMINISTRO E INSTALACION DE 18 PUNTOS DE RED DE DATOS PARA LA FACULTAD DE ECONOMIA Y ADMINISTRACION DE LA USCO (Orden de Compra en la Vicerrectoría Administrativa)                                                                                                                                         *ADECUACION DE BATERIAS SANITARIAS Y SISTEMA DE AGUAS NEGRAS PARA LA FACULTAD DE EDUCACION DE LA SEDE CENTRAL                                                                                            (Demás contratos reposan en el archivo de la Unidad de Contratación)                                                                                                                                            </v>
      </c>
      <c r="AK129" s="101">
        <f>'S. ADMINISTRATIVO'!AK12</f>
        <v>1419629011</v>
      </c>
      <c r="AL129" s="101">
        <f>'S. ADMINISTRATIVO'!AL12</f>
        <v>772669745</v>
      </c>
      <c r="AM129" s="101">
        <f>'S. ADMINISTRATIVO'!AM12</f>
        <v>646959266</v>
      </c>
      <c r="AN129" s="45">
        <f>'S. ADMINISTRATIVO'!AN12</f>
        <v>516</v>
      </c>
      <c r="AO129" s="102">
        <f>'S. ADMINISTRATIVO'!AO12</f>
        <v>6255.9071617006884</v>
      </c>
      <c r="AP129" s="45">
        <f>'S. ADMINISTRATIVO'!AP12</f>
        <v>325</v>
      </c>
      <c r="AQ129" s="102">
        <f>'S. ADMINISTRATIVO'!AQ12</f>
        <v>3940.2516037843484</v>
      </c>
      <c r="AR129" s="45">
        <f>'S. ADMINISTRATIVO'!AR12</f>
        <v>0</v>
      </c>
      <c r="AS129" s="102">
        <f>'S. ADMINISTRATIVO'!AS12</f>
        <v>0</v>
      </c>
      <c r="AT129" s="45">
        <f>'S. ADMINISTRATIVO'!AT12</f>
        <v>841</v>
      </c>
      <c r="AU129" s="363">
        <f t="shared" si="83"/>
        <v>0.54427582066368463</v>
      </c>
      <c r="AV129" s="363">
        <f t="shared" si="84"/>
        <v>10196.158765485037</v>
      </c>
      <c r="AW129" s="363">
        <f t="shared" si="85"/>
        <v>5098.3515206528509</v>
      </c>
      <c r="AX129" s="278" t="str">
        <f>'S. ADMINISTRATIVO'!AX12</f>
        <v>*SE REALIZÓ: INSPECCION RETIE DE LAS INSTALACIONES ELECTRICAS DE LA OBRA CINE CAFÉ DE LA SEDE CENTRAL DE LA USCO (Orden V.A0115 reposa en la Vicerrectoría Administrativa).                                                                                                                                       *ADECUACION DE BATERIAS SANITARIAS Y SISTEMA DE AGUAS NEGRAS PARA LA FACULTAD DE EDUCACION DE LA SEDE CENTRAL DE LA USCO.                                                                                     *ADECUACIONES A LOS LABORATORIOS DE LAS DIFERENTES FACULTADES DE LA USCO                     *INSTALACION DE AIRES ACONDICIONADOS EN DEPENDENCIAS DEL EDIFICIO DE LA FACULTAD DE ECONOMIA.                                                                                                                        *INSTALACION DE SISTEMA DE CAMARAS DE SEGURIDAD AL INTERIOR DEL EDIFICIO DE LA FACULTAD DE ECONOMIA - CABLEADO Y FUENTES DE PODER.                                                              *ADECUACIONES, MANTENIMIENTOS Y MEJORAS EN INFRAESTRUCTURA DE LAS SEDES FAC. JURIDICA.                                                                                                                                                 *ADECUACIONES OFICINA DEL CONSULTORIO JURIDICO DE LA SEDE PITALITO DE LA USCO. *ADECUACIONES DEL SISTEMA DE PROTECCION Y ALIMENTACION DE LA SUBESTACION ELECTRICA DE LA SEDE CENTRAL DE LA USCO.                                                                                        *MANTENIMIENTO DE ASCENSORES DE LA SEDE DE POSTGRADOS DE LA UNIVERSIDAD SURCOLOMBIANA. Contrato en Vicerrectoría Administrativa y los anteriores reposan en la Unidad de Contratación</v>
      </c>
    </row>
    <row r="130" spans="1:50" ht="21" customHeight="1" x14ac:dyDescent="0.25">
      <c r="A130" s="611"/>
      <c r="B130" s="544"/>
      <c r="C130" s="255" t="str">
        <f>Asignación!A116</f>
        <v>SA-PY2a.3</v>
      </c>
      <c r="D130" s="2" t="str">
        <f>Asignación!B116</f>
        <v>Avalúos, estudios y diseños de obras civiles varias.</v>
      </c>
      <c r="E130" s="255">
        <f>Asignación!C116</f>
        <v>111</v>
      </c>
      <c r="F130" s="4" t="s">
        <v>343</v>
      </c>
      <c r="G130" s="331"/>
      <c r="H130" s="4"/>
      <c r="I130" s="101">
        <f>Asignación!K116</f>
        <v>0</v>
      </c>
      <c r="J130" s="101">
        <f>'S. ADMINISTRATIVO'!J13</f>
        <v>0</v>
      </c>
      <c r="K130" s="101">
        <f t="shared" si="86"/>
        <v>0</v>
      </c>
      <c r="L130" s="46">
        <f>'S. ADMINISTRATIVO'!L13</f>
        <v>0</v>
      </c>
      <c r="M130" s="46">
        <f>'S. ADMINISTRATIVO'!M13</f>
        <v>0</v>
      </c>
      <c r="N130" s="46">
        <f>'S. ADMINISTRATIVO'!N13</f>
        <v>0</v>
      </c>
      <c r="O130" s="46">
        <f>'S. ADMINISTRATIVO'!O13</f>
        <v>0</v>
      </c>
      <c r="P130" s="46">
        <f>'S. ADMINISTRATIVO'!P13</f>
        <v>0</v>
      </c>
      <c r="Q130" s="46">
        <f>'S. ADMINISTRATIVO'!Q13</f>
        <v>0</v>
      </c>
      <c r="R130" s="46">
        <f>'S. ADMINISTRATIVO'!R13</f>
        <v>0</v>
      </c>
      <c r="S130" s="267" t="str">
        <f>'S. ADMINISTRATIVO'!S13</f>
        <v>MNP</v>
      </c>
      <c r="T130" s="267" t="str">
        <f>'S. ADMINISTRATIVO'!T13</f>
        <v>MNP</v>
      </c>
      <c r="U130" s="267" t="str">
        <f>'S. ADMINISTRATIVO'!U13</f>
        <v>MNP</v>
      </c>
      <c r="V130" s="7">
        <f>'S. ADMINISTRATIVO'!V13</f>
        <v>0</v>
      </c>
      <c r="W130" s="101">
        <f>'S. ADMINISTRATIVO'!W13</f>
        <v>0</v>
      </c>
      <c r="X130" s="101">
        <f>'S. ADMINISTRATIVO'!X13</f>
        <v>0</v>
      </c>
      <c r="Y130" s="101">
        <f t="shared" si="87"/>
        <v>0</v>
      </c>
      <c r="Z130" s="45">
        <f>'S. ADMINISTRATIVO'!Z13</f>
        <v>0</v>
      </c>
      <c r="AA130" s="102">
        <f>'S. ADMINISTRATIVO'!AA13</f>
        <v>0</v>
      </c>
      <c r="AB130" s="45">
        <f>'S. ADMINISTRATIVO'!AB13</f>
        <v>0</v>
      </c>
      <c r="AC130" s="102">
        <f>'S. ADMINISTRATIVO'!AC13</f>
        <v>0</v>
      </c>
      <c r="AD130" s="45">
        <f>'S. ADMINISTRATIVO'!AD13</f>
        <v>0</v>
      </c>
      <c r="AE130" s="102">
        <f>'S. ADMINISTRATIVO'!AE13</f>
        <v>0</v>
      </c>
      <c r="AF130" s="45">
        <f>'S. ADMINISTRATIVO'!AF13</f>
        <v>0</v>
      </c>
      <c r="AG130" s="249">
        <f t="shared" si="88"/>
        <v>0</v>
      </c>
      <c r="AH130" s="249">
        <f t="shared" si="89"/>
        <v>0</v>
      </c>
      <c r="AI130" s="249">
        <f t="shared" si="32"/>
        <v>0</v>
      </c>
      <c r="AJ130" s="278">
        <f>'S. ADMINISTRATIVO'!AJ13</f>
        <v>0</v>
      </c>
      <c r="AK130" s="101">
        <f>'S. ADMINISTRATIVO'!AK13</f>
        <v>0</v>
      </c>
      <c r="AL130" s="101">
        <f>'S. ADMINISTRATIVO'!AL13</f>
        <v>0</v>
      </c>
      <c r="AM130" s="101">
        <f>'S. ADMINISTRATIVO'!AM13</f>
        <v>0</v>
      </c>
      <c r="AN130" s="45">
        <f>'S. ADMINISTRATIVO'!AN13</f>
        <v>0</v>
      </c>
      <c r="AO130" s="102">
        <f>'S. ADMINISTRATIVO'!AO13</f>
        <v>0</v>
      </c>
      <c r="AP130" s="45">
        <f>'S. ADMINISTRATIVO'!AP13</f>
        <v>0</v>
      </c>
      <c r="AQ130" s="102">
        <f>'S. ADMINISTRATIVO'!AQ13</f>
        <v>0</v>
      </c>
      <c r="AR130" s="45">
        <f>'S. ADMINISTRATIVO'!AR13</f>
        <v>0</v>
      </c>
      <c r="AS130" s="102">
        <f>'S. ADMINISTRATIVO'!AS13</f>
        <v>0</v>
      </c>
      <c r="AT130" s="45">
        <f>'S. ADMINISTRATIVO'!AT13</f>
        <v>0</v>
      </c>
      <c r="AU130" s="363">
        <f t="shared" si="83"/>
        <v>0</v>
      </c>
      <c r="AV130" s="363">
        <f t="shared" si="84"/>
        <v>0</v>
      </c>
      <c r="AW130" s="363">
        <f t="shared" si="85"/>
        <v>0</v>
      </c>
      <c r="AX130" s="278">
        <f>'S. ADMINISTRATIVO'!AX13</f>
        <v>0</v>
      </c>
    </row>
    <row r="131" spans="1:50" ht="345" x14ac:dyDescent="0.25">
      <c r="A131" s="611"/>
      <c r="B131" s="610" t="s">
        <v>344</v>
      </c>
      <c r="C131" s="42" t="str">
        <f>Asignación!A117</f>
        <v>SA-PY2b.1</v>
      </c>
      <c r="D131" s="2" t="str">
        <f>Asignación!B117</f>
        <v>Dotación de equipos, accesorios, reactivos e insumos para  laboratorios de todas las Sedes.</v>
      </c>
      <c r="E131" s="255">
        <f>Asignación!C117</f>
        <v>211</v>
      </c>
      <c r="F131" s="4" t="s">
        <v>347</v>
      </c>
      <c r="G131" s="331"/>
      <c r="H131" s="4"/>
      <c r="I131" s="94">
        <f>Asignación!K117</f>
        <v>1347730005</v>
      </c>
      <c r="J131" s="94">
        <f>'S. ADMINISTRATIVO'!J14</f>
        <v>635656579</v>
      </c>
      <c r="K131" s="101">
        <f t="shared" si="86"/>
        <v>712073426</v>
      </c>
      <c r="L131" s="46">
        <f>'S. ADMINISTRATIVO'!L14</f>
        <v>0</v>
      </c>
      <c r="M131" s="46">
        <f>'S. ADMINISTRATIVO'!M14</f>
        <v>0</v>
      </c>
      <c r="N131" s="46">
        <f>'S. ADMINISTRATIVO'!N14</f>
        <v>562248216</v>
      </c>
      <c r="O131" s="46">
        <f>'S. ADMINISTRATIVO'!O14</f>
        <v>345998.90215384617</v>
      </c>
      <c r="P131" s="46">
        <f>'S. ADMINISTRATIVO'!P14</f>
        <v>73408363</v>
      </c>
      <c r="Q131" s="46">
        <f>'S. ADMINISTRATIVO'!Q14</f>
        <v>45174.377230769234</v>
      </c>
      <c r="R131" s="46">
        <f>'S. ADMINISTRATIVO'!R14</f>
        <v>635656579</v>
      </c>
      <c r="S131" s="267">
        <f>'S. ADMINISTRATIVO'!S14</f>
        <v>5.0599999999999999E-2</v>
      </c>
      <c r="T131" s="267">
        <f>'S. ADMINISTRATIVO'!T14</f>
        <v>635656579</v>
      </c>
      <c r="U131" s="267">
        <f>'S. ADMINISTRATIVO'!U14</f>
        <v>317828289.52530003</v>
      </c>
      <c r="V131" s="7" t="str">
        <f>'S. ADMINISTRATIVO'!V14</f>
        <v>* SE REALIZÓ LA COMPRA E INSTALACION DE EQUIPOS Y ADECUACION DE RED DE DATOS PARA LABORATORIOS DE BILINGUISMO SEDES NEIVA Y GARZON.                                                       *COMPRA DE EQUIPO DE LABORATORIO HPCL ESPECIALIZADO PARA LABORATORIO CESURCAFE                                                                                                                                                   *COMPRA DE MATERIALES PARA LOS LABORATORIOS DE HISTOLOGIA Y MORFOLOGIA DE LA FACULTAD DE SALUD                                                                                                                          *COMPRA E INSTALACION DE MOBILIARIO, EQUIPOS Y ADECUACION DE RED DE DATOS LABORATORIOS DE BILINGUISMO SEDES USCO DE NEIVA Y GARZON.                                              (Contratos y ordenes reposan en la Vicerrectoría Administrativa y la Unidad de Contratación)</v>
      </c>
      <c r="W131" s="94">
        <f>'S. ADMINISTRATIVO'!W14</f>
        <v>1625954405</v>
      </c>
      <c r="X131" s="101">
        <f>'S. ADMINISTRATIVO'!X14</f>
        <v>643393249</v>
      </c>
      <c r="Y131" s="101">
        <f t="shared" si="87"/>
        <v>982561156</v>
      </c>
      <c r="Z131" s="45">
        <f>'S. ADMINISTRATIVO'!Z14</f>
        <v>0</v>
      </c>
      <c r="AA131" s="102">
        <f>'S. ADMINISTRATIVO'!AA14</f>
        <v>0</v>
      </c>
      <c r="AB131" s="45">
        <f>'S. ADMINISTRATIVO'!AB14</f>
        <v>7736670</v>
      </c>
      <c r="AC131" s="102">
        <f>'S. ADMINISTRATIVO'!AC14</f>
        <v>4761.0276923076926</v>
      </c>
      <c r="AD131" s="45">
        <f>'S. ADMINISTRATIVO'!AD14</f>
        <v>0</v>
      </c>
      <c r="AE131" s="102">
        <f>'S. ADMINISTRATIVO'!AE14</f>
        <v>0</v>
      </c>
      <c r="AF131" s="45">
        <f>'S. ADMINISTRATIVO'!AF14</f>
        <v>7736670</v>
      </c>
      <c r="AG131" s="249">
        <f t="shared" si="88"/>
        <v>0.39570190100133834</v>
      </c>
      <c r="AH131" s="249">
        <f t="shared" si="89"/>
        <v>4761.0276923076926</v>
      </c>
      <c r="AI131" s="249">
        <f t="shared" si="32"/>
        <v>2380.711697104347</v>
      </c>
      <c r="AJ131" s="278" t="str">
        <f>'S. ADMINISTRATIVO'!AJ14</f>
        <v>*SUMINISTRO DE REACTIVOS PARA EL LABORATORIO DE INMUGENETICA DE LA FACULTAD DE SALUD  (Orden reposa en el archivo de la Vicerrectoría Administrativa)</v>
      </c>
      <c r="AK131" s="94">
        <f>'S. ADMINISTRATIVO'!AK14</f>
        <v>1625954405</v>
      </c>
      <c r="AL131" s="101">
        <f>'S. ADMINISTRATIVO'!AL14</f>
        <v>1226131373</v>
      </c>
      <c r="AM131" s="101">
        <f>'S. ADMINISTRATIVO'!AM14</f>
        <v>399823032</v>
      </c>
      <c r="AN131" s="45">
        <f>'S. ADMINISTRATIVO'!AN14</f>
        <v>515566638</v>
      </c>
      <c r="AO131" s="102">
        <f>'S. ADMINISTRATIVO'!AO14</f>
        <v>1.6221546507708196</v>
      </c>
      <c r="AP131" s="45">
        <f>'S. ADMINISTRATIVO'!AP14</f>
        <v>67171486</v>
      </c>
      <c r="AQ131" s="102">
        <f>'S. ADMINISTRATIVO'!AQ14</f>
        <v>0.21134520813211927</v>
      </c>
      <c r="AR131" s="45">
        <f>'S. ADMINISTRATIVO'!AR14</f>
        <v>0</v>
      </c>
      <c r="AS131" s="102">
        <f>'S. ADMINISTRATIVO'!AS14</f>
        <v>0</v>
      </c>
      <c r="AT131" s="45">
        <f>'S. ADMINISTRATIVO'!AT14</f>
        <v>582738124</v>
      </c>
      <c r="AU131" s="363">
        <f t="shared" si="83"/>
        <v>0.75409948103680069</v>
      </c>
      <c r="AV131" s="363">
        <f t="shared" si="84"/>
        <v>1.8334998589029388</v>
      </c>
      <c r="AW131" s="363">
        <f t="shared" si="85"/>
        <v>1.2937996699698697</v>
      </c>
      <c r="AX131" s="278" t="str">
        <f>'S. ADMINISTRATIVO'!AX14</f>
        <v xml:space="preserve">*ADQUISICION DE EQUIPOS E INSUMOS PARA EL LABORATORIO DE FISICA DE LA FACULTAD DE CIENCIAS EXACTAS Y NATURALES DE PITALITO.                                                                                 *ADQUISICION DE MISCROSCOPIOS Y ESTEROSCOPIOS PARA EL LABORATORIO DE BIOLOGIA DE LA FACULTAD DE CIENCIAS EXACTAS DE PITALITO.                                                                             *ADQUISICION DE EQUIPOS E INSUMOS PARA EL LABORATORIO DE QUIMICA Y BIOLOGIA DE LA FACULTAD DE CIENCIAS EXACTAS Y NATURALES DE PITALITO                                                             *ADQUISICION DE EQUIPO FIBROSCOPIA DE INTUBACION 3.7. MM X 65 CON DESTINO A LA FACULTAD DE SALUD DE LA USCO                                                                                                              *ADQUISICION DE MOBILIARIO MULTIPROPOSITO ADSCRITO A LA FACULTAD DE CIENCIAS EXACTAS Y NATURALES SEDE LA PLATA                                                                                                           *ADQUISICION DE ELEMENTOS DE LABORATORIO DE EVALUACION Y DESARROLLO DE RENDIMIENTO FISICO PROG. DE EDUCACION FISICA                                                                               *DOTACION DE EQUIPOS, ACCESORIOS, REACTIVOS E INSUMOS PARA LABORATORIO DE LAS SEDES(FAC. INGENIERIA)                                                                                                                                *SUMINISTRO DE REACTIVOS PARA LABORATORIO DE INMUNOLOGIA ADSCRITO A LA FACULTAD DE SALUD                                                                                                                                    (Copia de las ordenes y contratos reposan en Vicerrectoría Administrativa y Unidad de Contratación según el caso)                </v>
      </c>
    </row>
    <row r="132" spans="1:50" ht="195" x14ac:dyDescent="0.25">
      <c r="A132" s="611"/>
      <c r="B132" s="610"/>
      <c r="C132" s="255" t="str">
        <f>Asignación!A118</f>
        <v>SA-PY2b.2</v>
      </c>
      <c r="D132" s="2" t="str">
        <f>Asignación!B118</f>
        <v>Dotación de muebles y equipos de oficinas para todas las Sedes.</v>
      </c>
      <c r="E132" s="255">
        <f>Asignación!C118</f>
        <v>211</v>
      </c>
      <c r="F132" s="4" t="s">
        <v>351</v>
      </c>
      <c r="G132" s="329"/>
      <c r="H132" s="4"/>
      <c r="I132" s="94">
        <f>Asignación!K118</f>
        <v>355787227</v>
      </c>
      <c r="J132" s="94">
        <f>'S. ADMINISTRATIVO'!J15</f>
        <v>4400000</v>
      </c>
      <c r="K132" s="101">
        <f t="shared" si="86"/>
        <v>351387227</v>
      </c>
      <c r="L132" s="46">
        <f>'S. ADMINISTRATIVO'!L15</f>
        <v>4400000</v>
      </c>
      <c r="M132" s="46">
        <f>'S. ADMINISTRATIVO'!M15</f>
        <v>6102.6352288488215</v>
      </c>
      <c r="N132" s="46">
        <f>'S. ADMINISTRATIVO'!N15</f>
        <v>0</v>
      </c>
      <c r="O132" s="46">
        <f>'S. ADMINISTRATIVO'!O15</f>
        <v>0</v>
      </c>
      <c r="P132" s="46">
        <f>'S. ADMINISTRATIVO'!P15</f>
        <v>0</v>
      </c>
      <c r="Q132" s="46">
        <f>'S. ADMINISTRATIVO'!Q15</f>
        <v>0</v>
      </c>
      <c r="R132" s="46">
        <f>'S. ADMINISTRATIVO'!R15</f>
        <v>4400000</v>
      </c>
      <c r="S132" s="267">
        <f>'S. ADMINISTRATIVO'!S15</f>
        <v>6.1026013386743967E-3</v>
      </c>
      <c r="T132" s="267">
        <f>'S. ADMINISTRATIVO'!T15</f>
        <v>4400000</v>
      </c>
      <c r="U132" s="267">
        <f>'S. ADMINISTRATIVO'!U15</f>
        <v>2200000.0030513005</v>
      </c>
      <c r="V132" s="7" t="str">
        <f>'S. ADMINISTRATIVO'!V15</f>
        <v>*SE REALIZÓ COMPRA DE EQUIPOS VIDEO BEAM PARA LA FACULTAD DE ECONOMIA Y ADMINISTRACION</v>
      </c>
      <c r="W132" s="94">
        <f>'S. ADMINISTRATIVO'!W15</f>
        <v>721004004</v>
      </c>
      <c r="X132" s="101">
        <f>'S. ADMINISTRATIVO'!X15</f>
        <v>357902684</v>
      </c>
      <c r="Y132" s="101">
        <f t="shared" si="87"/>
        <v>363101320</v>
      </c>
      <c r="Z132" s="45">
        <f>'S. ADMINISTRATIVO'!Z15</f>
        <v>277897368</v>
      </c>
      <c r="AA132" s="102">
        <f>'S. ADMINISTRATIVO'!AA15</f>
        <v>385433.24271844659</v>
      </c>
      <c r="AB132" s="45">
        <f>'S. ADMINISTRATIVO'!AB15</f>
        <v>8835298</v>
      </c>
      <c r="AC132" s="102">
        <f>'S. ADMINISTRATIVO'!AC15</f>
        <v>12254.227461858531</v>
      </c>
      <c r="AD132" s="45">
        <f>'S. ADMINISTRATIVO'!AD15</f>
        <v>66770018</v>
      </c>
      <c r="AE132" s="102">
        <f>'S. ADMINISTRATIVO'!AE15</f>
        <v>92607.514563106801</v>
      </c>
      <c r="AF132" s="45">
        <f>'S. ADMINISTRATIVO'!AF15</f>
        <v>353502684</v>
      </c>
      <c r="AG132" s="249">
        <f t="shared" si="88"/>
        <v>0.4963948632939908</v>
      </c>
      <c r="AH132" s="249">
        <f t="shared" si="89"/>
        <v>490294.98474341194</v>
      </c>
      <c r="AI132" s="249">
        <f t="shared" si="32"/>
        <v>245147.74056913762</v>
      </c>
      <c r="AJ132" s="278" t="str">
        <f>'S. ADMINISTRATIVO'!AJ15</f>
        <v xml:space="preserve">*ADQUISICION DE SILLAS UNIVERSITARIAS PARA AULAS DE DIFERENTES SEDES DE LA UNIVERSIDAD SURCOLOMBIANA.                                                                                                                     *DOTACION DE MUEBLES Y EQUIPOS DE OFICINA PARA TODAS LAS SEDES: FAC. SALUD, FAC. ECONOMIA, LA SALA DE AUDIENCIA DEL PROGRAMA DE DERECHO                                                                                                                                                     *COMPRA DE EQUIPOS PARA DOTAR PROGRAMA DE DERECHO DE LA FACULTAD DE CIENCIAS JURIDICAS                                                                                                                                                          *COMPRA DE AIRES ACONDICIONADOS PARA INSTALACIONES DEL PROGRAMA DE DERECHO                 (Contratos reposan en el archivo de            </v>
      </c>
      <c r="AK132" s="94">
        <f>'S. ADMINISTRATIVO'!AK15</f>
        <v>821004004</v>
      </c>
      <c r="AL132" s="101">
        <f>'S. ADMINISTRATIVO'!AL15</f>
        <v>539699359</v>
      </c>
      <c r="AM132" s="101">
        <f>'S. ADMINISTRATIVO'!AM15</f>
        <v>281304645</v>
      </c>
      <c r="AN132" s="45">
        <f>'S. ADMINISTRATIVO'!AN15</f>
        <v>157720110</v>
      </c>
      <c r="AO132" s="102">
        <f>'S. ADMINISTRATIVO'!AO15</f>
        <v>71.690958991476975</v>
      </c>
      <c r="AP132" s="45">
        <f>'S. ADMINISTRATIVO'!AP15</f>
        <v>24076565</v>
      </c>
      <c r="AQ132" s="102">
        <f>'S. ADMINISTRATIVO'!AQ15</f>
        <v>10.943893166639496</v>
      </c>
      <c r="AR132" s="45">
        <f>'S. ADMINISTRATIVO'!AR15</f>
        <v>0</v>
      </c>
      <c r="AS132" s="102">
        <f>'S. ADMINISTRATIVO'!AS15</f>
        <v>0</v>
      </c>
      <c r="AT132" s="45">
        <f>'S. ADMINISTRATIVO'!AT15</f>
        <v>181796675</v>
      </c>
      <c r="AU132" s="363">
        <f t="shared" si="83"/>
        <v>0.65736507540832889</v>
      </c>
      <c r="AV132" s="363">
        <f t="shared" si="84"/>
        <v>82.634852158116473</v>
      </c>
      <c r="AW132" s="363">
        <f t="shared" si="85"/>
        <v>41.646108616762405</v>
      </c>
      <c r="AX132" s="278" t="str">
        <f>'S. ADMINISTRATIVO'!AX15</f>
        <v xml:space="preserve">*AQUISICION DE EQUIPOS PARA FORTALECIMIENTO DE PLATAFORMA TECNOLOGICA FINANCIERA APLICATIVO LINIX                                                                                                            *ADQUISICION DE AIRES ACONDICIONADOS PARA LAS DIFERENTES DEPENDENCIAS Y SEDES DE LA USCO  (PARA SALA DE PROFESORES DE LA FACULTAD DE ECONOMIA Y ADMINISTRACION)                                                                                                                                             *ADQUISICION DE CAMARAS DE SEGURIDAD Y DVR PARA SISTEMA DE SEGURIDAD AL INTERIOR DEL EDIFICIO DE LA FAC. DE ECONOMIA                                                                               *DOTACION DE MUEBLES Y EQUIPOS DE OFICINA PARA LAS DIFERENTES OFICINAS DE LA FACULTAD DE CIENCIAS JURIDICAS,CIENCIAS EXACTAS Y NATURALES                                                                   (Archivo Unidad de Contratación)                                                                                             </v>
      </c>
    </row>
    <row r="133" spans="1:50" s="28" customFormat="1" ht="90.75" customHeight="1" x14ac:dyDescent="0.25">
      <c r="A133" s="611"/>
      <c r="B133" s="610"/>
      <c r="C133" s="255" t="str">
        <f>Asignación!A119</f>
        <v>SA-PY2b.3</v>
      </c>
      <c r="D133" s="2" t="str">
        <f>Asignación!B119</f>
        <v>Adquisición bibliografía.</v>
      </c>
      <c r="E133" s="255">
        <f>Asignación!C119</f>
        <v>211</v>
      </c>
      <c r="F133" s="4" t="s">
        <v>354</v>
      </c>
      <c r="G133" s="331"/>
      <c r="H133" s="4"/>
      <c r="I133" s="94">
        <f>Asignación!K119</f>
        <v>261976437</v>
      </c>
      <c r="J133" s="94">
        <f>'S. ADMINISTRATIVO'!J16</f>
        <v>0</v>
      </c>
      <c r="K133" s="101">
        <f t="shared" si="86"/>
        <v>261976437</v>
      </c>
      <c r="L133" s="46">
        <f>'S. ADMINISTRATIVO'!L16</f>
        <v>0</v>
      </c>
      <c r="M133" s="46">
        <f>'S. ADMINISTRATIVO'!M16</f>
        <v>0</v>
      </c>
      <c r="N133" s="46">
        <f>'S. ADMINISTRATIVO'!N16</f>
        <v>0</v>
      </c>
      <c r="O133" s="46">
        <f>'S. ADMINISTRATIVO'!O16</f>
        <v>0</v>
      </c>
      <c r="P133" s="46">
        <f>'S. ADMINISTRATIVO'!P16</f>
        <v>0</v>
      </c>
      <c r="Q133" s="46">
        <f>'S. ADMINISTRATIVO'!Q16</f>
        <v>0</v>
      </c>
      <c r="R133" s="46">
        <f>'S. ADMINISTRATIVO'!R16</f>
        <v>0</v>
      </c>
      <c r="S133" s="267">
        <f>'S. ADMINISTRATIVO'!S16</f>
        <v>0</v>
      </c>
      <c r="T133" s="267">
        <f>'S. ADMINISTRATIVO'!T16</f>
        <v>0</v>
      </c>
      <c r="U133" s="267">
        <f>'S. ADMINISTRATIVO'!U16</f>
        <v>0</v>
      </c>
      <c r="V133" s="7">
        <f>'S. ADMINISTRATIVO'!V16</f>
        <v>0</v>
      </c>
      <c r="W133" s="94">
        <f>'S. ADMINISTRATIVO'!W16</f>
        <v>322536487</v>
      </c>
      <c r="X133" s="101">
        <f>'S. ADMINISTRATIVO'!X16</f>
        <v>21553929</v>
      </c>
      <c r="Y133" s="101">
        <f t="shared" si="87"/>
        <v>300982558</v>
      </c>
      <c r="Z133" s="45">
        <f>'S. ADMINISTRATIVO'!Z16</f>
        <v>9883429</v>
      </c>
      <c r="AA133" s="102">
        <f>'S. ADMINISTRATIVO'!AA16</f>
        <v>30693.878881987577</v>
      </c>
      <c r="AB133" s="45">
        <f>'S. ADMINISTRATIVO'!AB16</f>
        <v>11416500</v>
      </c>
      <c r="AC133" s="102">
        <f>'S. ADMINISTRATIVO'!AC16</f>
        <v>35454.968944099382</v>
      </c>
      <c r="AD133" s="45">
        <f>'S. ADMINISTRATIVO'!AD16</f>
        <v>254000</v>
      </c>
      <c r="AE133" s="102">
        <f>'S. ADMINISTRATIVO'!AE16</f>
        <v>788.81987577639757</v>
      </c>
      <c r="AF133" s="45">
        <f>'S. ADMINISTRATIVO'!AF16</f>
        <v>21553929</v>
      </c>
      <c r="AG133" s="249">
        <f t="shared" si="88"/>
        <v>6.6826327776057168E-2</v>
      </c>
      <c r="AH133" s="249">
        <f t="shared" si="89"/>
        <v>66937.667701863364</v>
      </c>
      <c r="AI133" s="249">
        <f t="shared" si="32"/>
        <v>33468.86726409557</v>
      </c>
      <c r="AJ133" s="278" t="str">
        <f>'S. ADMINISTRATIVO'!AJ16</f>
        <v>*SE REALIZÓ LA RENOVACION DE LA SUSCRIPCION DE BASE DE DATOS VIRTUAL ESPECIALIZADA A LA UNIVERSIDAD SURCOLOMBIANA (Contrato Selección Directa archivo en la Vicerrectoría Administrativa)                                                                                                          *SUFRAGAR GASTOS QUE OCASIONA LA COMPRA DE BIBLIOGRAFIA INDISPENSABLE Y NECESARIA COMO MATERIA                                                                                                                        *APOYO ECONOMICO PARA ADQUIRIR MATERIAL BIBLIOGRAFICO AL ICONTEC-FAC. INGENIERIA</v>
      </c>
      <c r="AK133" s="94">
        <f>'S. ADMINISTRATIVO'!AK16</f>
        <v>322536487</v>
      </c>
      <c r="AL133" s="101">
        <f>'S. ADMINISTRATIVO'!AL16</f>
        <v>71368559</v>
      </c>
      <c r="AM133" s="101">
        <f>'S. ADMINISTRATIVO'!AM16</f>
        <v>251167928</v>
      </c>
      <c r="AN133" s="45">
        <f>'S. ADMINISTRATIVO'!AN16</f>
        <v>10747550</v>
      </c>
      <c r="AO133" s="102">
        <f>'S. ADMINISTRATIVO'!AO16</f>
        <v>0</v>
      </c>
      <c r="AP133" s="45">
        <f>'S. ADMINISTRATIVO'!AP16</f>
        <v>39067080</v>
      </c>
      <c r="AQ133" s="102">
        <f>'S. ADMINISTRATIVO'!AQ16</f>
        <v>0</v>
      </c>
      <c r="AR133" s="45">
        <f>'S. ADMINISTRATIVO'!AR16</f>
        <v>0</v>
      </c>
      <c r="AS133" s="102">
        <f>'S. ADMINISTRATIVO'!AS16</f>
        <v>0</v>
      </c>
      <c r="AT133" s="45">
        <f>'S. ADMINISTRATIVO'!AT16</f>
        <v>49814630</v>
      </c>
      <c r="AU133" s="363">
        <f t="shared" si="83"/>
        <v>0.22127282300312273</v>
      </c>
      <c r="AV133" s="363">
        <f t="shared" si="84"/>
        <v>0</v>
      </c>
      <c r="AW133" s="363">
        <f t="shared" si="85"/>
        <v>0.11063641150156137</v>
      </c>
      <c r="AX133" s="278" t="str">
        <f>'S. ADMINISTRATIVO'!AX16</f>
        <v>*ADQUISICION BIBLIOGRAFICA PARA LA FACULTAD DE INGENIERIA                                                     *ADQUISICION DE MEMBRESIAS CORPORATIVAS INSTITUTO NACIONAL DE AUDITORES INTERNOS EN COLOMBIA                                                                                                                               *ADQUISICION MATERIAL BIBLIOGRAFICO PARA PROGRAMAS ACADEMICOS FACULTAD DE ECONOMIA Y LA FACULTAD DE CIENCIAS JURIDICAS Y POLITICAS</v>
      </c>
    </row>
    <row r="134" spans="1:50" ht="132" customHeight="1" x14ac:dyDescent="0.25">
      <c r="A134" s="611"/>
      <c r="B134" s="610"/>
      <c r="C134" s="255" t="str">
        <f>Asignación!A120</f>
        <v>SA-PY2b.4</v>
      </c>
      <c r="D134" s="2" t="str">
        <f>Asignación!B120</f>
        <v xml:space="preserve"> Mantenimiento de Equipos de Laboratorio,  Muebles, accesorios y equipos de Oficina de todas las sedes.</v>
      </c>
      <c r="E134" s="255">
        <f>Asignación!C120</f>
        <v>211</v>
      </c>
      <c r="F134" s="4" t="s">
        <v>357</v>
      </c>
      <c r="G134" s="331"/>
      <c r="H134" s="4"/>
      <c r="I134" s="94">
        <f>Asignación!K120</f>
        <v>203000000</v>
      </c>
      <c r="J134" s="94">
        <f>'S. ADMINISTRATIVO'!J17</f>
        <v>9735530</v>
      </c>
      <c r="K134" s="101">
        <f t="shared" si="86"/>
        <v>193264470</v>
      </c>
      <c r="L134" s="46">
        <f>'S. ADMINISTRATIVO'!L17</f>
        <v>280000</v>
      </c>
      <c r="M134" s="46">
        <f>'S. ADMINISTRATIVO'!M17</f>
        <v>1191.4893617021276</v>
      </c>
      <c r="N134" s="46">
        <f>'S. ADMINISTRATIVO'!N17</f>
        <v>9455530</v>
      </c>
      <c r="O134" s="46">
        <f>'S. ADMINISTRATIVO'!O17</f>
        <v>40236.297872340423</v>
      </c>
      <c r="P134" s="46">
        <f>'S. ADMINISTRATIVO'!P17</f>
        <v>0</v>
      </c>
      <c r="Q134" s="46">
        <f>'S. ADMINISTRATIVO'!Q17</f>
        <v>0</v>
      </c>
      <c r="R134" s="46">
        <f>'S. ADMINISTRATIVO'!R17</f>
        <v>9735530</v>
      </c>
      <c r="S134" s="267">
        <f>'S. ADMINISTRATIVO'!S17</f>
        <v>4.0800000000000003E-2</v>
      </c>
      <c r="T134" s="267">
        <f>'S. ADMINISTRATIVO'!T17</f>
        <v>9735530</v>
      </c>
      <c r="U134" s="267">
        <f>'S. ADMINISTRATIVO'!U17</f>
        <v>4867765.0203999998</v>
      </c>
      <c r="V134" s="7" t="str">
        <f>'S. ADMINISTRATIVO'!V17</f>
        <v>*MANTENIMIENTO DE EQUIPOS DE LABORATORIO DE ALTA COMPLEJIDAD EN EL LABORATORIO DE QUIMICA DE LA USCO                                                                                              *MANTENIMIENTO Y PUESTA EN FUNCIONAMIENTO DE IMPRESORA HP LASERJET                                 *MANTENIMIENTO DE PISCINA, DESISTALACION E INSTALACION SISTEMA DE FILTRADO, SUMINISTRO DE ARAÑA, FLAUTAS, CONECTORES Y DIFUSORES   (Orden en el archivo de Vicerrectoría Administrativa)                                                                                                 *MANTENIMIENTO DE EQUIPOS VIDEOPROYECTORES DE PROGRAMA DE DERECHO Y DECANATURA FACLTAD CIENCIAS JURIDICAS</v>
      </c>
      <c r="W134" s="94">
        <f>'S. ADMINISTRATIVO'!W17</f>
        <v>239038727</v>
      </c>
      <c r="X134" s="101">
        <f>'S. ADMINISTRATIVO'!X17</f>
        <v>53538117</v>
      </c>
      <c r="Y134" s="101">
        <f t="shared" si="87"/>
        <v>185500610</v>
      </c>
      <c r="Z134" s="45">
        <f>'S. ADMINISTRATIVO'!Z17</f>
        <v>0</v>
      </c>
      <c r="AA134" s="102">
        <f>'S. ADMINISTRATIVO'!AA17</f>
        <v>0</v>
      </c>
      <c r="AB134" s="45">
        <f>'S. ADMINISTRATIVO'!AB17</f>
        <v>40000000</v>
      </c>
      <c r="AC134" s="102">
        <f>'S. ADMINISTRATIVO'!AC17</f>
        <v>170212.7659574468</v>
      </c>
      <c r="AD134" s="45">
        <f>'S. ADMINISTRATIVO'!AD17</f>
        <v>3802587</v>
      </c>
      <c r="AE134" s="102">
        <f>'S. ADMINISTRATIVO'!AE17</f>
        <v>16181.221276595745</v>
      </c>
      <c r="AF134" s="45">
        <f>'S. ADMINISTRATIVO'!AF17</f>
        <v>43802587</v>
      </c>
      <c r="AG134" s="249">
        <f t="shared" si="88"/>
        <v>0.22397256575082078</v>
      </c>
      <c r="AH134" s="249">
        <f t="shared" si="89"/>
        <v>186393.98723404255</v>
      </c>
      <c r="AI134" s="249">
        <f t="shared" si="32"/>
        <v>93197.105603304153</v>
      </c>
      <c r="AJ134" s="278" t="str">
        <f>'S. ADMINISTRATIVO'!AJ17</f>
        <v xml:space="preserve">*SUMINISTRO DE REPUESTOS, PARTES Y OTROS ELEMENTOS PARA MANTENIMIENTO PREVENTIVO Y CORRECTIVO DE COMPUTADORES E IMPRESORAS    (Orden en archivo de Vicerrectoría Administrativa)                                                                                                           *MANTENIMEINTO DE EQUIPOS DE LABORATORIO, MUEBLES, ACCESORIOS Y EQUIPOS DE OFICINA                                                                                                                                                       </v>
      </c>
      <c r="AK134" s="94">
        <f>'S. ADMINISTRATIVO'!AK17</f>
        <v>239038727</v>
      </c>
      <c r="AL134" s="101">
        <f>'S. ADMINISTRATIVO'!AL17</f>
        <v>60865107</v>
      </c>
      <c r="AM134" s="101">
        <f>'S. ADMINISTRATIVO'!AM17</f>
        <v>178173620</v>
      </c>
      <c r="AN134" s="45">
        <f>'S. ADMINISTRATIVO'!AN17</f>
        <v>7326990</v>
      </c>
      <c r="AO134" s="102">
        <f>'S. ADMINISTRATIVO'!AO17</f>
        <v>1.5052061817474331</v>
      </c>
      <c r="AP134" s="45">
        <f>'S. ADMINISTRATIVO'!AP17</f>
        <v>0</v>
      </c>
      <c r="AQ134" s="102">
        <f>'S. ADMINISTRATIVO'!AQ17</f>
        <v>0</v>
      </c>
      <c r="AR134" s="45">
        <f>'S. ADMINISTRATIVO'!AR17</f>
        <v>0</v>
      </c>
      <c r="AS134" s="102">
        <f>'S. ADMINISTRATIVO'!AS17</f>
        <v>0</v>
      </c>
      <c r="AT134" s="45">
        <f>'S. ADMINISTRATIVO'!AT17</f>
        <v>7326990</v>
      </c>
      <c r="AU134" s="363">
        <f t="shared" si="83"/>
        <v>0.25462446091423502</v>
      </c>
      <c r="AV134" s="363">
        <f t="shared" si="84"/>
        <v>1.5052061817474331</v>
      </c>
      <c r="AW134" s="363">
        <f t="shared" si="85"/>
        <v>0.87991532133083405</v>
      </c>
      <c r="AX134" s="278" t="str">
        <f>'S. ADMINISTRATIVO'!AX17</f>
        <v>*MANTENIMIENTO DE EQUIPOS DE LABORATORIO, MUEBLES, ACCESORIOS Y EQUIPOS DE OFICINAS DE TODAS LAS SEDES                                                                                                                *MANTENIMIENTO DE EQUIPOS VIDEOPROYECTORES DE PROGRAMA DE CIENCIA POLITICA</v>
      </c>
    </row>
    <row r="135" spans="1:50" ht="36" customHeight="1" x14ac:dyDescent="0.25">
      <c r="A135" s="611"/>
      <c r="B135" s="610"/>
      <c r="C135" s="255" t="str">
        <f>Asignación!A121</f>
        <v>SA-PY2b.5</v>
      </c>
      <c r="D135" s="2" t="str">
        <f>Asignación!B121</f>
        <v>Dotación de elementos de aseo y cafetería.</v>
      </c>
      <c r="E135" s="255">
        <f>Asignación!C121</f>
        <v>211</v>
      </c>
      <c r="F135" s="4" t="s">
        <v>360</v>
      </c>
      <c r="G135" s="331"/>
      <c r="H135" s="4"/>
      <c r="I135" s="94">
        <f>Asignación!K121</f>
        <v>5865085</v>
      </c>
      <c r="J135" s="94">
        <f>'S. ADMINISTRATIVO'!J18</f>
        <v>2000000</v>
      </c>
      <c r="K135" s="101">
        <f t="shared" si="86"/>
        <v>3865085</v>
      </c>
      <c r="L135" s="46">
        <f>'S. ADMINISTRATIVO'!L18</f>
        <v>24</v>
      </c>
      <c r="M135" s="46">
        <f>'S. ADMINISTRATIVO'!M18</f>
        <v>0.24</v>
      </c>
      <c r="N135" s="46">
        <f>'S. ADMINISTRATIVO'!N18</f>
        <v>0</v>
      </c>
      <c r="O135" s="46">
        <f>'S. ADMINISTRATIVO'!O18</f>
        <v>0</v>
      </c>
      <c r="P135" s="46">
        <f>'S. ADMINISTRATIVO'!P18</f>
        <v>0</v>
      </c>
      <c r="Q135" s="46">
        <f>'S. ADMINISTRATIVO'!Q18</f>
        <v>0</v>
      </c>
      <c r="R135" s="46">
        <f>'S. ADMINISTRATIVO'!R18</f>
        <v>24</v>
      </c>
      <c r="S135" s="267">
        <f>'S. ADMINISTRATIVO'!S18</f>
        <v>0.34100000000000003</v>
      </c>
      <c r="T135" s="267">
        <f>'S. ADMINISTRATIVO'!T18</f>
        <v>0.3</v>
      </c>
      <c r="U135" s="267">
        <f>'S. ADMINISTRATIVO'!U18</f>
        <v>0.32050000000000001</v>
      </c>
      <c r="V135" s="7" t="str">
        <f>'S. ADMINISTRATIVO'!V18</f>
        <v>* DOTACION DE ELEMENTOS DE ASEO Y CAFETERIA</v>
      </c>
      <c r="W135" s="94">
        <f>'S. ADMINISTRATIVO'!W18</f>
        <v>8765084</v>
      </c>
      <c r="X135" s="101">
        <f>'S. ADMINISTRATIVO'!X18</f>
        <v>6399249</v>
      </c>
      <c r="Y135" s="101">
        <f t="shared" si="87"/>
        <v>2365835</v>
      </c>
      <c r="Z135" s="45">
        <f>'S. ADMINISTRATIVO'!Z18</f>
        <v>0</v>
      </c>
      <c r="AA135" s="102">
        <f>'S. ADMINISTRATIVO'!AA18</f>
        <v>0</v>
      </c>
      <c r="AB135" s="45">
        <f>'S. ADMINISTRATIVO'!AB18</f>
        <v>0</v>
      </c>
      <c r="AC135" s="102">
        <f>'S. ADMINISTRATIVO'!AC18</f>
        <v>0</v>
      </c>
      <c r="AD135" s="45">
        <f>'S. ADMINISTRATIVO'!AD18</f>
        <v>4399249</v>
      </c>
      <c r="AE135" s="102">
        <f>'S. ADMINISTRATIVO'!AE18</f>
        <v>43992.49</v>
      </c>
      <c r="AF135" s="45">
        <f>'S. ADMINISTRATIVO'!AF18</f>
        <v>4399249</v>
      </c>
      <c r="AG135" s="249">
        <f t="shared" si="88"/>
        <v>0.7300841612014215</v>
      </c>
      <c r="AH135" s="249">
        <f t="shared" si="89"/>
        <v>43992.49</v>
      </c>
      <c r="AI135" s="249">
        <f t="shared" si="32"/>
        <v>21996.6100420806</v>
      </c>
      <c r="AJ135" s="278" t="str">
        <f>'S. ADMINISTRATIVO'!AJ18</f>
        <v>*DOTACION DE ELEMENTOS DE ASEO Y CAFETERIA</v>
      </c>
      <c r="AK135" s="94">
        <f>'S. ADMINISTRATIVO'!AK18</f>
        <v>8765084</v>
      </c>
      <c r="AL135" s="101">
        <f>'S. ADMINISTRATIVO'!AL18</f>
        <v>8264334</v>
      </c>
      <c r="AM135" s="101">
        <f>'S. ADMINISTRATIVO'!AM18</f>
        <v>500750</v>
      </c>
      <c r="AN135" s="45">
        <f>'S. ADMINISTRATIVO'!AN18</f>
        <v>0</v>
      </c>
      <c r="AO135" s="102">
        <f>'S. ADMINISTRATIVO'!AO18</f>
        <v>0</v>
      </c>
      <c r="AP135" s="45">
        <f>'S. ADMINISTRATIVO'!AP18</f>
        <v>1865085</v>
      </c>
      <c r="AQ135" s="102">
        <f>'S. ADMINISTRATIVO'!AQ18</f>
        <v>5819297.9719188763</v>
      </c>
      <c r="AR135" s="45">
        <f>'S. ADMINISTRATIVO'!AR18</f>
        <v>0</v>
      </c>
      <c r="AS135" s="102">
        <f>'S. ADMINISTRATIVO'!AS18</f>
        <v>0</v>
      </c>
      <c r="AT135" s="45">
        <f>'S. ADMINISTRATIVO'!AT18</f>
        <v>1865085</v>
      </c>
      <c r="AU135" s="363">
        <f t="shared" si="83"/>
        <v>0.94286991431000544</v>
      </c>
      <c r="AV135" s="363">
        <f t="shared" si="84"/>
        <v>5819297.9719188763</v>
      </c>
      <c r="AW135" s="363">
        <f t="shared" si="85"/>
        <v>2909649.4573943955</v>
      </c>
      <c r="AX135" s="278" t="str">
        <f>'S. ADMINISTRATIVO'!AX18</f>
        <v>*DOTACION DE ELEMENTOS DE ASEO Y CAFETERIA</v>
      </c>
    </row>
    <row r="136" spans="1:50" ht="44.25" customHeight="1" x14ac:dyDescent="0.25">
      <c r="A136" s="611"/>
      <c r="B136" s="610"/>
      <c r="C136" s="255" t="str">
        <f>Asignación!A122</f>
        <v>SA-PY2b.6</v>
      </c>
      <c r="D136" s="2" t="str">
        <f>Asignación!B122</f>
        <v>Dotación, renovación de Software y licencias.</v>
      </c>
      <c r="E136" s="255">
        <f>Asignación!C122</f>
        <v>211</v>
      </c>
      <c r="F136" s="4" t="s">
        <v>363</v>
      </c>
      <c r="G136" s="331"/>
      <c r="H136" s="4"/>
      <c r="I136" s="94">
        <f>Asignación!K122</f>
        <v>450000000</v>
      </c>
      <c r="J136" s="94">
        <f>'S. ADMINISTRATIVO'!J19</f>
        <v>27015261</v>
      </c>
      <c r="K136" s="101">
        <f t="shared" si="86"/>
        <v>422984739</v>
      </c>
      <c r="L136" s="46">
        <f>'S. ADMINISTRATIVO'!L19</f>
        <v>0</v>
      </c>
      <c r="M136" s="46">
        <f>'S. ADMINISTRATIVO'!M19</f>
        <v>0</v>
      </c>
      <c r="N136" s="46">
        <f>'S. ADMINISTRATIVO'!N19</f>
        <v>0</v>
      </c>
      <c r="O136" s="46">
        <f>'S. ADMINISTRATIVO'!O19</f>
        <v>0</v>
      </c>
      <c r="P136" s="46">
        <f>'S. ADMINISTRATIVO'!P19</f>
        <v>27015261</v>
      </c>
      <c r="Q136" s="46">
        <f>'S. ADMINISTRATIVO'!Q19</f>
        <v>75042.391666666663</v>
      </c>
      <c r="R136" s="46">
        <f>'S. ADMINISTRATIVO'!R19</f>
        <v>27015261</v>
      </c>
      <c r="S136" s="267">
        <f>'S. ADMINISTRATIVO'!S19</f>
        <v>0.06</v>
      </c>
      <c r="T136" s="267">
        <f>'S. ADMINISTRATIVO'!T19</f>
        <v>0.1</v>
      </c>
      <c r="U136" s="267">
        <f>'S. ADMINISTRATIVO'!U19</f>
        <v>0.08</v>
      </c>
      <c r="V136" s="7" t="str">
        <f>'S. ADMINISTRATIVO'!V19</f>
        <v>*RENOVACION DE LICENCIAMIENTOS DE ANTIVIRUS (contrato selección directa en archivo de Vicerrectoría Administrativa)</v>
      </c>
      <c r="W136" s="94">
        <f>'S. ADMINISTRATIVO'!W19</f>
        <v>360351833</v>
      </c>
      <c r="X136" s="101">
        <f>'S. ADMINISTRATIVO'!X19</f>
        <v>243298516</v>
      </c>
      <c r="Y136" s="101">
        <f t="shared" si="87"/>
        <v>117053317</v>
      </c>
      <c r="Z136" s="45">
        <f>'S. ADMINISTRATIVO'!Z19</f>
        <v>207213075</v>
      </c>
      <c r="AA136" s="102">
        <f>'S. ADMINISTRATIVO'!AA19</f>
        <v>575591.875</v>
      </c>
      <c r="AB136" s="45">
        <f>'S. ADMINISTRATIVO'!AB19</f>
        <v>9070180</v>
      </c>
      <c r="AC136" s="102">
        <f>'S. ADMINISTRATIVO'!AC19</f>
        <v>25194.944444444445</v>
      </c>
      <c r="AD136" s="45">
        <f>'S. ADMINISTRATIVO'!AD19</f>
        <v>0</v>
      </c>
      <c r="AE136" s="102">
        <f>'S. ADMINISTRATIVO'!AE19</f>
        <v>0</v>
      </c>
      <c r="AF136" s="45">
        <f>'S. ADMINISTRATIVO'!AF19</f>
        <v>216283255</v>
      </c>
      <c r="AG136" s="249">
        <f t="shared" si="88"/>
        <v>0.67516935871948236</v>
      </c>
      <c r="AH136" s="249">
        <f t="shared" si="89"/>
        <v>600786.8194444445</v>
      </c>
      <c r="AI136" s="249">
        <f t="shared" si="32"/>
        <v>300393.74730690161</v>
      </c>
      <c r="AJ136" s="278" t="str">
        <f>'S. ADMINISTRATIVO'!AJ19</f>
        <v>*RENOVACION DE LICENCIAMIENTO DE SOFTWARE DE MICROSOFT OFFICE MEDIANTE MODALIDAD DE CAMPUS AGREEMENT POR UN AÑO PARA LA USCO                                                    *RENOVACION DE LICENCIA Y SOPORTE DE EQUIPO F52200S ESTANDAR BIG-IP SERVICE DEL CENTRO DE TECNOLOGIAS DE INFORMACION Y COMUNICACIONES                                                * RENOVACION DE LICENCIA CHECK POINT 4600 Y 4800 UTM SOFTWARE BLADES PACKAGE CON DESTINO AL DATACENTER DEL CTIC USCO                                                                                          *RENOVACION DE CERTIFICADOS DIGITALES PARA LOS DOMINIOS WWW. DE LA UNIVERSIDAD SURCOLOMBIANA                                                                                                        (Ordenes en archivo de Vicerrectoría Administrativa)</v>
      </c>
      <c r="AK136" s="94">
        <f>'S. ADMINISTRATIVO'!AK19</f>
        <v>360351833</v>
      </c>
      <c r="AL136" s="101">
        <f>'S. ADMINISTRATIVO'!AL19</f>
        <v>354232934</v>
      </c>
      <c r="AM136" s="101">
        <f>'S. ADMINISTRATIVO'!AM19</f>
        <v>6118899</v>
      </c>
      <c r="AN136" s="45">
        <f>'S. ADMINISTRATIVO'!AN19</f>
        <v>110934418</v>
      </c>
      <c r="AO136" s="102">
        <f>'S. ADMINISTRATIVO'!AO19</f>
        <v>1386680225</v>
      </c>
      <c r="AP136" s="45">
        <f>'S. ADMINISTRATIVO'!AP19</f>
        <v>0</v>
      </c>
      <c r="AQ136" s="102">
        <f>'S. ADMINISTRATIVO'!AQ19</f>
        <v>0</v>
      </c>
      <c r="AR136" s="45">
        <f>'S. ADMINISTRATIVO'!AR19</f>
        <v>0</v>
      </c>
      <c r="AS136" s="102">
        <f>'S. ADMINISTRATIVO'!AS19</f>
        <v>0</v>
      </c>
      <c r="AT136" s="45">
        <f>'S. ADMINISTRATIVO'!AT19</f>
        <v>110934418</v>
      </c>
      <c r="AU136" s="363">
        <f t="shared" si="83"/>
        <v>0.98301965346184317</v>
      </c>
      <c r="AV136" s="363">
        <f t="shared" si="84"/>
        <v>1386680225</v>
      </c>
      <c r="AW136" s="363">
        <f t="shared" si="85"/>
        <v>693340112.9915098</v>
      </c>
      <c r="AX136" s="278" t="str">
        <f>'S. ADMINISTRATIVO'!AX19</f>
        <v xml:space="preserve">*RENOVACION DE LICENCIA RED HAT ENTERPRISE LINUX SERVER, ESTANDAR PARA LOS SERVICIOS DEL CTIC                                                                                                                                       *ADQUISICION DE SOFTWARE Y LICENCIAS PARA FORTALECIMIENTO DE PLATAFORMA TECNOLOGIA Y FINANCIERA - ACTULIZACION DE APLICATIVO LINIX                                                         *EXTENSION DE GARANTIA PARA EL SOPORTE A NIVEL HARDWARE Y SOFTWARE DE LA UNIDAD DE ALMACENAMIENTO MSA2040 Y SAN SWICHT                                                                            *ADQUISICION DE SOFTWARE ME MIGRACION DE APPLIANCES (CHECKPOINT 4600-4800 U F5 GIB IP)                                                                                                                                                         (Ordenes y contratos en el archivo de Vicerrectoría Administrativa)                                                                               </v>
      </c>
    </row>
    <row r="137" spans="1:50" ht="31.5" customHeight="1" x14ac:dyDescent="0.25">
      <c r="A137" s="611"/>
      <c r="B137" s="610"/>
      <c r="C137" s="255" t="str">
        <f>Asignación!A123</f>
        <v>SA-PY2b.7</v>
      </c>
      <c r="D137" s="2" t="str">
        <f>Asignación!B123</f>
        <v>Contratación personal para mantenimiento CTIC.</v>
      </c>
      <c r="E137" s="255">
        <f>Asignación!C123</f>
        <v>211</v>
      </c>
      <c r="F137" s="4" t="s">
        <v>366</v>
      </c>
      <c r="G137" s="331"/>
      <c r="H137" s="4"/>
      <c r="I137" s="94">
        <f>Asignación!K123</f>
        <v>265000000</v>
      </c>
      <c r="J137" s="94">
        <f>'S. ADMINISTRATIVO'!J20</f>
        <v>147995447</v>
      </c>
      <c r="K137" s="101">
        <f t="shared" si="86"/>
        <v>117004553</v>
      </c>
      <c r="L137" s="46">
        <f>'S. ADMINISTRATIVO'!L20</f>
        <v>147995447</v>
      </c>
      <c r="M137" s="46">
        <f>'S. ADMINISTRATIVO'!M20</f>
        <v>412243.58495821728</v>
      </c>
      <c r="N137" s="46">
        <f>'S. ADMINISTRATIVO'!N20</f>
        <v>0</v>
      </c>
      <c r="O137" s="46">
        <f>'S. ADMINISTRATIVO'!O20</f>
        <v>0</v>
      </c>
      <c r="P137" s="46">
        <f>'S. ADMINISTRATIVO'!P20</f>
        <v>0</v>
      </c>
      <c r="Q137" s="46">
        <f>'S. ADMINISTRATIVO'!Q20</f>
        <v>0</v>
      </c>
      <c r="R137" s="46">
        <f>'S. ADMINISTRATIVO'!R20</f>
        <v>147995447</v>
      </c>
      <c r="S137" s="267">
        <f>'S. ADMINISTRATIVO'!S20</f>
        <v>0.5585</v>
      </c>
      <c r="T137" s="267">
        <f>'S. ADMINISTRATIVO'!T20</f>
        <v>0.5</v>
      </c>
      <c r="U137" s="267">
        <f>'S. ADMINISTRATIVO'!U20</f>
        <v>0.52925</v>
      </c>
      <c r="V137" s="7" t="str">
        <f>'S. ADMINISTRATIVO'!V20</f>
        <v>*Contratos de prestación de servicios en el area de Talento Humano</v>
      </c>
      <c r="W137" s="94">
        <f>'S. ADMINISTRATIVO'!W20</f>
        <v>359648167</v>
      </c>
      <c r="X137" s="101">
        <f>'S. ADMINISTRATIVO'!X20</f>
        <v>258598009</v>
      </c>
      <c r="Y137" s="101">
        <f t="shared" si="87"/>
        <v>101050158</v>
      </c>
      <c r="Z137" s="45">
        <f>'S. ADMINISTRATIVO'!Z20</f>
        <v>0</v>
      </c>
      <c r="AA137" s="102">
        <f>'S. ADMINISTRATIVO'!AA20</f>
        <v>0</v>
      </c>
      <c r="AB137" s="45">
        <f>'S. ADMINISTRATIVO'!AB20</f>
        <v>0</v>
      </c>
      <c r="AC137" s="102">
        <f>'S. ADMINISTRATIVO'!AC20</f>
        <v>0</v>
      </c>
      <c r="AD137" s="45">
        <f>'S. ADMINISTRATIVO'!AD20</f>
        <v>110602562</v>
      </c>
      <c r="AE137" s="102">
        <f>'S. ADMINISTRATIVO'!AE20</f>
        <v>308085.13091922004</v>
      </c>
      <c r="AF137" s="45">
        <f>'S. ADMINISTRATIVO'!AF20</f>
        <v>110602562</v>
      </c>
      <c r="AG137" s="249">
        <f t="shared" si="88"/>
        <v>0.71903052129277223</v>
      </c>
      <c r="AH137" s="249">
        <f t="shared" si="89"/>
        <v>308085.13091922004</v>
      </c>
      <c r="AI137" s="249">
        <f t="shared" si="32"/>
        <v>154042.92497487066</v>
      </c>
      <c r="AJ137" s="278" t="str">
        <f>'S. ADMINISTRATIVO'!AJ20</f>
        <v>*Contratos de prestación de servicios en el area de Talento Humano</v>
      </c>
      <c r="AK137" s="94">
        <f>'S. ADMINISTRATIVO'!AK20</f>
        <v>359648167</v>
      </c>
      <c r="AL137" s="101">
        <f>'S. ADMINISTRATIVO'!AL20</f>
        <v>91629398</v>
      </c>
      <c r="AM137" s="101">
        <f>'S. ADMINISTRATIVO'!AM20</f>
        <v>268018769</v>
      </c>
      <c r="AN137" s="45">
        <f>'S. ADMINISTRATIVO'!AN20</f>
        <v>91629398</v>
      </c>
      <c r="AO137" s="102">
        <f>'S. ADMINISTRATIVO'!AO20</f>
        <v>173130652.810581</v>
      </c>
      <c r="AP137" s="45">
        <f>'S. ADMINISTRATIVO'!AP20</f>
        <v>0</v>
      </c>
      <c r="AQ137" s="102">
        <f>'S. ADMINISTRATIVO'!AQ20</f>
        <v>0</v>
      </c>
      <c r="AR137" s="45">
        <f>'S. ADMINISTRATIVO'!AR20</f>
        <v>0</v>
      </c>
      <c r="AS137" s="102">
        <f>'S. ADMINISTRATIVO'!AS20</f>
        <v>0</v>
      </c>
      <c r="AT137" s="45">
        <f>'S. ADMINISTRATIVO'!AT20</f>
        <v>91629398</v>
      </c>
      <c r="AU137" s="363">
        <f t="shared" si="83"/>
        <v>0.25477510080011057</v>
      </c>
      <c r="AV137" s="363">
        <f t="shared" si="84"/>
        <v>173130652.810581</v>
      </c>
      <c r="AW137" s="363">
        <f t="shared" si="85"/>
        <v>86565326.532678053</v>
      </c>
      <c r="AX137" s="278" t="str">
        <f>'S. ADMINISTRATIVO'!AX20</f>
        <v>*Contratos de prestación de servicios en el area de Talento Humano</v>
      </c>
    </row>
    <row r="138" spans="1:50" s="28" customFormat="1" ht="50.25" customHeight="1" x14ac:dyDescent="0.25">
      <c r="A138" s="78"/>
      <c r="B138" s="2" t="s">
        <v>367</v>
      </c>
      <c r="C138" s="23" t="str">
        <f>Asignación!A124</f>
        <v>SA-PY2c.1</v>
      </c>
      <c r="D138" s="2" t="str">
        <f>Asignación!B124</f>
        <v xml:space="preserve">Implementación  plataforma LCMS en la Usco para aumentar la tasa de cobertura bruta en la educación superior en el Departamento del Huila”, </v>
      </c>
      <c r="E138" s="23" t="str">
        <f>Asignación!C124</f>
        <v>520-2</v>
      </c>
      <c r="F138" s="4" t="s">
        <v>343</v>
      </c>
      <c r="G138" s="331"/>
      <c r="H138" s="4"/>
      <c r="I138" s="94">
        <f>Asignación!K124</f>
        <v>700456632</v>
      </c>
      <c r="J138" s="94">
        <f>'S. ADMINISTRATIVO'!J21</f>
        <v>207998915</v>
      </c>
      <c r="K138" s="101">
        <f t="shared" si="86"/>
        <v>492457717</v>
      </c>
      <c r="L138" s="46">
        <f>'S. ADMINISTRATIVO'!L21</f>
        <v>35</v>
      </c>
      <c r="M138" s="46">
        <f>'S. ADMINISTRATIVO'!M21</f>
        <v>0.35</v>
      </c>
      <c r="N138" s="46">
        <f>'S. ADMINISTRATIVO'!N21</f>
        <v>0</v>
      </c>
      <c r="O138" s="46">
        <f>'S. ADMINISTRATIVO'!O21</f>
        <v>0</v>
      </c>
      <c r="P138" s="46">
        <f>'S. ADMINISTRATIVO'!P21</f>
        <v>0</v>
      </c>
      <c r="Q138" s="46">
        <f>'S. ADMINISTRATIVO'!Q21</f>
        <v>0</v>
      </c>
      <c r="R138" s="46">
        <f>'S. ADMINISTRATIVO'!R21</f>
        <v>35</v>
      </c>
      <c r="S138" s="267">
        <f>'S. ADMINISTRATIVO'!S21</f>
        <v>0.2969</v>
      </c>
      <c r="T138" s="267">
        <f>'S. ADMINISTRATIVO'!T21</f>
        <v>0.3</v>
      </c>
      <c r="U138" s="267">
        <f>'S. ADMINISTRATIVO'!U21</f>
        <v>0.29844999999999999</v>
      </c>
      <c r="V138" s="7" t="str">
        <f>'S. ADMINISTRATIVO'!V21</f>
        <v>*Vinculación del personal al proyecto de Implementación de la Plataforma LCMS (archivo en el area de Talento Humano)</v>
      </c>
      <c r="W138" s="94">
        <f>'S. ADMINISTRATIVO'!W21</f>
        <v>549305214</v>
      </c>
      <c r="X138" s="101">
        <f>'S. ADMINISTRATIVO'!X21</f>
        <v>449606837</v>
      </c>
      <c r="Y138" s="101">
        <f t="shared" si="87"/>
        <v>99698377</v>
      </c>
      <c r="Z138" s="45">
        <f>'S. ADMINISTRATIVO'!Z21</f>
        <v>30</v>
      </c>
      <c r="AA138" s="102">
        <f>'S. ADMINISTRATIVO'!AA21</f>
        <v>0.3</v>
      </c>
      <c r="AB138" s="45">
        <f>'S. ADMINISTRATIVO'!AB21</f>
        <v>20</v>
      </c>
      <c r="AC138" s="102">
        <f>'S. ADMINISTRATIVO'!AC21</f>
        <v>0.2</v>
      </c>
      <c r="AD138" s="45">
        <f>'S. ADMINISTRATIVO'!AD21</f>
        <v>10</v>
      </c>
      <c r="AE138" s="102">
        <f>'S. ADMINISTRATIVO'!AE21</f>
        <v>0.1</v>
      </c>
      <c r="AF138" s="45">
        <f>'S. ADMINISTRATIVO'!AF21</f>
        <v>60</v>
      </c>
      <c r="AG138" s="249">
        <f t="shared" si="88"/>
        <v>0.81850094545070162</v>
      </c>
      <c r="AH138" s="249">
        <f t="shared" si="89"/>
        <v>0.6</v>
      </c>
      <c r="AI138" s="249">
        <f t="shared" si="32"/>
        <v>0.7092504727253508</v>
      </c>
      <c r="AJ138" s="278" t="str">
        <f>'S. ADMINISTRATIVO'!AJ21</f>
        <v xml:space="preserve">*SERVICIOS PARA CULMINACION DE IMPLEMENTACION DE PLATAFORMA LCMS PARA AUMENTAR COBERTURA EDUCACION SUPERIOR EN EL DEPARTAMENTO DEL HUILA </v>
      </c>
      <c r="AK138" s="94">
        <f>'S. ADMINISTRATIVO'!AK21</f>
        <v>99698377</v>
      </c>
      <c r="AL138" s="101">
        <f>'S. ADMINISTRATIVO'!AL21</f>
        <v>99698377</v>
      </c>
      <c r="AM138" s="101">
        <f>'S. ADMINISTRATIVO'!AM21</f>
        <v>0</v>
      </c>
      <c r="AN138" s="45">
        <f>'S. ADMINISTRATIVO'!AN21</f>
        <v>0</v>
      </c>
      <c r="AO138" s="102">
        <f>'S. ADMINISTRATIVO'!AO21</f>
        <v>0</v>
      </c>
      <c r="AP138" s="45">
        <f>'S. ADMINISTRATIVO'!AP21</f>
        <v>10</v>
      </c>
      <c r="AQ138" s="102">
        <f>'S. ADMINISTRATIVO'!AQ21</f>
        <v>33.506449991623391</v>
      </c>
      <c r="AR138" s="45">
        <f>'S. ADMINISTRATIVO'!AR21</f>
        <v>0</v>
      </c>
      <c r="AS138" s="102">
        <f>'S. ADMINISTRATIVO'!AS21</f>
        <v>0</v>
      </c>
      <c r="AT138" s="45">
        <f>'S. ADMINISTRATIVO'!AT21</f>
        <v>10</v>
      </c>
      <c r="AU138" s="363">
        <f t="shared" si="83"/>
        <v>1</v>
      </c>
      <c r="AV138" s="363">
        <f t="shared" si="84"/>
        <v>33.506449991623391</v>
      </c>
      <c r="AW138" s="363">
        <f t="shared" si="85"/>
        <v>17.253224995811696</v>
      </c>
      <c r="AX138" s="278" t="str">
        <f>'S. ADMINISTRATIVO'!AX21</f>
        <v xml:space="preserve">*SERVICIOS PARA CULMINACION DE IMPLEMENTACION DE PLATAFORMA LCMS PARA AUMENTAR COBERTURA EDUCACION SUPERIOR EN EL DEPARTAMENTO DEL HUILA </v>
      </c>
    </row>
    <row r="139" spans="1:50" ht="36.75" customHeight="1" x14ac:dyDescent="0.25">
      <c r="A139" s="611" t="s">
        <v>334</v>
      </c>
      <c r="B139" s="541" t="s">
        <v>371</v>
      </c>
      <c r="C139" s="42" t="str">
        <f>Asignación!A125</f>
        <v>SA-PY3.1</v>
      </c>
      <c r="D139" s="2" t="str">
        <f>Asignación!B125</f>
        <v>Desarrollo de las actividades Gestión Ambiental y  vinculación personal del Proyecto.</v>
      </c>
      <c r="E139" s="255">
        <f>Asignación!C125</f>
        <v>510</v>
      </c>
      <c r="F139" s="4" t="s">
        <v>374</v>
      </c>
      <c r="G139" s="331"/>
      <c r="H139" s="4"/>
      <c r="I139" s="94">
        <f>Asignación!K125</f>
        <v>115954283</v>
      </c>
      <c r="J139" s="94">
        <f>'S. ADMINISTRATIVO'!J22</f>
        <v>56482267</v>
      </c>
      <c r="K139" s="101">
        <f t="shared" si="86"/>
        <v>59472016</v>
      </c>
      <c r="L139" s="46">
        <f>'S. ADMINISTRATIVO'!L22</f>
        <v>56482267</v>
      </c>
      <c r="M139" s="46">
        <f>'S. ADMINISTRATIVO'!M22</f>
        <v>470685.55833333335</v>
      </c>
      <c r="N139" s="46">
        <f>'S. ADMINISTRATIVO'!N22</f>
        <v>0</v>
      </c>
      <c r="O139" s="46">
        <f>'S. ADMINISTRATIVO'!O22</f>
        <v>0</v>
      </c>
      <c r="P139" s="46">
        <f>'S. ADMINISTRATIVO'!P22</f>
        <v>0</v>
      </c>
      <c r="Q139" s="46">
        <f>'S. ADMINISTRATIVO'!Q22</f>
        <v>0</v>
      </c>
      <c r="R139" s="46">
        <f>'S. ADMINISTRATIVO'!R22</f>
        <v>56482267</v>
      </c>
      <c r="S139" s="267">
        <f>'S. ADMINISTRATIVO'!S22</f>
        <v>0.48470000000000002</v>
      </c>
      <c r="T139" s="267">
        <f>'S. ADMINISTRATIVO'!T22</f>
        <v>0.2</v>
      </c>
      <c r="U139" s="267">
        <f>'S. ADMINISTRATIVO'!U22</f>
        <v>0.34235000000000004</v>
      </c>
      <c r="V139" s="7" t="str">
        <f>'S. ADMINISTRATIVO'!V22</f>
        <v>*VINCULACION DE PERSONAL AL PROYECTO ASEGURAMIENTO DEL SISTEMA DE GESTION AMBIENTAL DE LA USCO (archivo en el area de Talento Humano)</v>
      </c>
      <c r="W139" s="94">
        <f>'S. ADMINISTRATIVO'!W22</f>
        <v>120238283</v>
      </c>
      <c r="X139" s="101">
        <f>'S. ADMINISTRATIVO'!X22</f>
        <v>113482267</v>
      </c>
      <c r="Y139" s="101">
        <f t="shared" si="87"/>
        <v>6756016</v>
      </c>
      <c r="Z139" s="45">
        <f>'S. ADMINISTRATIVO'!Z22</f>
        <v>0</v>
      </c>
      <c r="AA139" s="102">
        <f>'S. ADMINISTRATIVO'!AA22</f>
        <v>0</v>
      </c>
      <c r="AB139" s="45">
        <f>'S. ADMINISTRATIVO'!AB22</f>
        <v>0</v>
      </c>
      <c r="AC139" s="102">
        <f>'S. ADMINISTRATIVO'!AC22</f>
        <v>0</v>
      </c>
      <c r="AD139" s="45">
        <f>'S. ADMINISTRATIVO'!AD22</f>
        <v>57000000</v>
      </c>
      <c r="AE139" s="102">
        <f>'S. ADMINISTRATIVO'!AE22</f>
        <v>475000</v>
      </c>
      <c r="AF139" s="45">
        <f>'S. ADMINISTRATIVO'!AF22</f>
        <v>57000000</v>
      </c>
      <c r="AG139" s="249">
        <f t="shared" si="88"/>
        <v>0.94381143982237337</v>
      </c>
      <c r="AH139" s="249">
        <f t="shared" si="89"/>
        <v>475000</v>
      </c>
      <c r="AI139" s="249">
        <f t="shared" si="32"/>
        <v>237500.47190571993</v>
      </c>
      <c r="AJ139" s="278" t="str">
        <f>'S. ADMINISTRATIVO'!AJ22</f>
        <v>*Vinculación del personal ( archivo area de Talento Humano)</v>
      </c>
      <c r="AK139" s="94">
        <f>'S. ADMINISTRATIVO'!AK22</f>
        <v>120238283</v>
      </c>
      <c r="AL139" s="101">
        <f>'S. ADMINISTRATIVO'!AL22</f>
        <v>117766267</v>
      </c>
      <c r="AM139" s="101">
        <f>'S. ADMINISTRATIVO'!AM22</f>
        <v>2472016</v>
      </c>
      <c r="AN139" s="45">
        <f>'S. ADMINISTRATIVO'!AN22</f>
        <v>4284000</v>
      </c>
      <c r="AO139" s="102">
        <f>'S. ADMINISTRATIVO'!AO22</f>
        <v>12513509.566233385</v>
      </c>
      <c r="AP139" s="45">
        <f>'S. ADMINISTRATIVO'!AP22</f>
        <v>0</v>
      </c>
      <c r="AQ139" s="102">
        <f>'S. ADMINISTRATIVO'!AQ22</f>
        <v>0</v>
      </c>
      <c r="AR139" s="45">
        <f>'S. ADMINISTRATIVO'!AR22</f>
        <v>0</v>
      </c>
      <c r="AS139" s="102">
        <f>'S. ADMINISTRATIVO'!AS22</f>
        <v>0</v>
      </c>
      <c r="AT139" s="45">
        <f>'S. ADMINISTRATIVO'!AT22</f>
        <v>4284000</v>
      </c>
      <c r="AU139" s="363">
        <f t="shared" si="83"/>
        <v>0.9794406911149921</v>
      </c>
      <c r="AV139" s="363">
        <f t="shared" si="84"/>
        <v>12513509.566233385</v>
      </c>
      <c r="AW139" s="363">
        <f t="shared" si="85"/>
        <v>6256755.2728370382</v>
      </c>
      <c r="AX139" s="278" t="str">
        <f>'S. ADMINISTRATIVO'!AX22</f>
        <v>*FORMACION EN AUDITORIA INTERNA DE LA NORMA ISO 14001:2015 DE GESTION AMBIENTAL  ( Contrato en archivo de Vicerrectoría Administrativa)</v>
      </c>
    </row>
    <row r="140" spans="1:50" ht="51" customHeight="1" x14ac:dyDescent="0.25">
      <c r="A140" s="611"/>
      <c r="B140" s="542"/>
      <c r="C140" s="255" t="str">
        <f>Asignación!A126</f>
        <v>SA-PY3.2</v>
      </c>
      <c r="D140" s="2" t="str">
        <f>Asignación!B126</f>
        <v>Actualización y desarrollo del Sistema de Gestión de Calidad con el Plan de Desarrollo y vinculación personal del Proyecto.</v>
      </c>
      <c r="E140" s="255">
        <f>Asignación!C126</f>
        <v>510</v>
      </c>
      <c r="F140" s="4" t="s">
        <v>374</v>
      </c>
      <c r="G140" s="331"/>
      <c r="H140" s="4"/>
      <c r="I140" s="94">
        <f>Asignación!K126</f>
        <v>134000000</v>
      </c>
      <c r="J140" s="94">
        <f>'S. ADMINISTRATIVO'!J23</f>
        <v>56482267</v>
      </c>
      <c r="K140" s="101">
        <f t="shared" si="86"/>
        <v>77517733</v>
      </c>
      <c r="L140" s="46">
        <f>'S. ADMINISTRATIVO'!L23</f>
        <v>56482267</v>
      </c>
      <c r="M140" s="46">
        <f>'S. ADMINISTRATIVO'!M23</f>
        <v>421509.45522388059</v>
      </c>
      <c r="N140" s="46">
        <f>'S. ADMINISTRATIVO'!N23</f>
        <v>0</v>
      </c>
      <c r="O140" s="46">
        <f>'S. ADMINISTRATIVO'!O23</f>
        <v>0</v>
      </c>
      <c r="P140" s="46">
        <f>'S. ADMINISTRATIVO'!P23</f>
        <v>0</v>
      </c>
      <c r="Q140" s="46">
        <f>'S. ADMINISTRATIVO'!Q23</f>
        <v>0</v>
      </c>
      <c r="R140" s="46">
        <f>'S. ADMINISTRATIVO'!R23</f>
        <v>56482267</v>
      </c>
      <c r="S140" s="267">
        <f>'S. ADMINISTRATIVO'!S23</f>
        <v>0.42149999999999999</v>
      </c>
      <c r="T140" s="267">
        <f>'S. ADMINISTRATIVO'!T23</f>
        <v>0.2</v>
      </c>
      <c r="U140" s="267">
        <f>'S. ADMINISTRATIVO'!U23</f>
        <v>0.31074999999999997</v>
      </c>
      <c r="V140" s="7" t="str">
        <f>'S. ADMINISTRATIVO'!V23</f>
        <v>*VINCULACION DE PERSONAL AL PROYECTO ASEGURAMIENTO DEL SISTEMA DE GESTION DE CALIDAD DE LA USCO (Archivo en el area de Talento Humano)</v>
      </c>
      <c r="W140" s="94">
        <f>'S. ADMINISTRATIVO'!W23</f>
        <v>134000000</v>
      </c>
      <c r="X140" s="101">
        <f>'S. ADMINISTRATIVO'!X23</f>
        <v>112683929</v>
      </c>
      <c r="Y140" s="101">
        <f t="shared" si="87"/>
        <v>21316071</v>
      </c>
      <c r="Z140" s="45">
        <f>'S. ADMINISTRATIVO'!Z23</f>
        <v>0</v>
      </c>
      <c r="AA140" s="102">
        <f>'S. ADMINISTRATIVO'!AA23</f>
        <v>0</v>
      </c>
      <c r="AB140" s="45">
        <f>'S. ADMINISTRATIVO'!AB23</f>
        <v>0</v>
      </c>
      <c r="AC140" s="102">
        <f>'S. ADMINISTRATIVO'!AC23</f>
        <v>0</v>
      </c>
      <c r="AD140" s="45">
        <f>'S. ADMINISTRATIVO'!AD23</f>
        <v>56201662</v>
      </c>
      <c r="AE140" s="102">
        <f>'S. ADMINISTRATIVO'!AE23</f>
        <v>419415.38805970148</v>
      </c>
      <c r="AF140" s="45">
        <f>'S. ADMINISTRATIVO'!AF23</f>
        <v>56201662</v>
      </c>
      <c r="AG140" s="249">
        <f t="shared" si="88"/>
        <v>0.84092484328358208</v>
      </c>
      <c r="AH140" s="249">
        <f t="shared" si="89"/>
        <v>419415.38805970148</v>
      </c>
      <c r="AI140" s="249">
        <f t="shared" si="32"/>
        <v>209708.11449227238</v>
      </c>
      <c r="AJ140" s="278" t="str">
        <f>'S. ADMINISTRATIVO'!AJ23</f>
        <v>*VINCULACION DE PERSONAL AL PROYECTO ASEGURAMIENTO DEL SISTEMA DE GESTION DE CALIDAD DE LA USCO (Archivo en el area de Talento Humano)</v>
      </c>
      <c r="AK140" s="94">
        <f>'S. ADMINISTRATIVO'!AK23</f>
        <v>134000000</v>
      </c>
      <c r="AL140" s="101">
        <f>'S. ADMINISTRATIVO'!AL23</f>
        <v>130146511</v>
      </c>
      <c r="AM140" s="101">
        <f>'S. ADMINISTRATIVO'!AM23</f>
        <v>3853489</v>
      </c>
      <c r="AN140" s="45">
        <f>'S. ADMINISTRATIVO'!AN23</f>
        <v>17462582</v>
      </c>
      <c r="AO140" s="102">
        <f>'S. ADMINISTRATIVO'!AO23</f>
        <v>56194954.14320194</v>
      </c>
      <c r="AP140" s="45">
        <f>'S. ADMINISTRATIVO'!AP23</f>
        <v>0</v>
      </c>
      <c r="AQ140" s="102">
        <f>'S. ADMINISTRATIVO'!AQ23</f>
        <v>0</v>
      </c>
      <c r="AR140" s="45">
        <f>'S. ADMINISTRATIVO'!AR23</f>
        <v>0</v>
      </c>
      <c r="AS140" s="102">
        <f>'S. ADMINISTRATIVO'!AS23</f>
        <v>0</v>
      </c>
      <c r="AT140" s="45">
        <f>'S. ADMINISTRATIVO'!AT23</f>
        <v>17462582</v>
      </c>
      <c r="AU140" s="363">
        <f t="shared" si="83"/>
        <v>0.97124261940298506</v>
      </c>
      <c r="AV140" s="363">
        <f t="shared" si="84"/>
        <v>56194954.14320194</v>
      </c>
      <c r="AW140" s="363">
        <f t="shared" si="85"/>
        <v>28097477.557222281</v>
      </c>
      <c r="AX140" s="278" t="str">
        <f>'S. ADMINISTRATIVO'!AX23</f>
        <v>*VINCULACION DE PERSONAL DE APOYO EN SISTEMA DE GESTION DE CALIDAD PARA LOS PROCESOS EN LA OFICINA DE ACREDITACION INSTITUCIONAL  (Archivo en el area de Talento Humano)</v>
      </c>
    </row>
    <row r="141" spans="1:50" ht="38.25" customHeight="1" x14ac:dyDescent="0.25">
      <c r="A141" s="611"/>
      <c r="B141" s="542"/>
      <c r="C141" s="255" t="str">
        <f>Asignación!A127</f>
        <v>SA-PY3.3</v>
      </c>
      <c r="D141" s="2" t="str">
        <f>Asignación!B127</f>
        <v>Afiliación y Auditoría de seguimiento de la Certificación ISO 9001:2008 NTCGP 1000:2009.</v>
      </c>
      <c r="E141" s="255">
        <f>Asignación!C127</f>
        <v>510</v>
      </c>
      <c r="F141" s="4" t="s">
        <v>374</v>
      </c>
      <c r="G141" s="331"/>
      <c r="H141" s="4"/>
      <c r="I141" s="94">
        <f>Asignación!K127</f>
        <v>31000000</v>
      </c>
      <c r="J141" s="94">
        <f>'S. ADMINISTRATIVO'!J24</f>
        <v>0</v>
      </c>
      <c r="K141" s="101">
        <f t="shared" si="86"/>
        <v>31000000</v>
      </c>
      <c r="L141" s="46">
        <f>'S. ADMINISTRATIVO'!L24</f>
        <v>0</v>
      </c>
      <c r="M141" s="46">
        <f>'S. ADMINISTRATIVO'!M24</f>
        <v>0</v>
      </c>
      <c r="N141" s="46">
        <f>'S. ADMINISTRATIVO'!N24</f>
        <v>0</v>
      </c>
      <c r="O141" s="46">
        <f>'S. ADMINISTRATIVO'!O24</f>
        <v>0</v>
      </c>
      <c r="P141" s="46">
        <f>'S. ADMINISTRATIVO'!P24</f>
        <v>0</v>
      </c>
      <c r="Q141" s="46">
        <f>'S. ADMINISTRATIVO'!Q24</f>
        <v>0</v>
      </c>
      <c r="R141" s="46">
        <f>'S. ADMINISTRATIVO'!R24</f>
        <v>0</v>
      </c>
      <c r="S141" s="267">
        <f>'S. ADMINISTRATIVO'!S24</f>
        <v>0</v>
      </c>
      <c r="T141" s="267">
        <f>'S. ADMINISTRATIVO'!T24</f>
        <v>0</v>
      </c>
      <c r="U141" s="267">
        <f>'S. ADMINISTRATIVO'!U24</f>
        <v>0</v>
      </c>
      <c r="V141" s="7">
        <f>'S. ADMINISTRATIVO'!V24</f>
        <v>0</v>
      </c>
      <c r="W141" s="94">
        <f>'S. ADMINISTRATIVO'!W24</f>
        <v>0</v>
      </c>
      <c r="X141" s="101">
        <f>'S. ADMINISTRATIVO'!X24</f>
        <v>0</v>
      </c>
      <c r="Y141" s="101">
        <f t="shared" si="87"/>
        <v>0</v>
      </c>
      <c r="Z141" s="45">
        <f>'S. ADMINISTRATIVO'!Z24</f>
        <v>0</v>
      </c>
      <c r="AA141" s="102">
        <f>'S. ADMINISTRATIVO'!AA24</f>
        <v>0</v>
      </c>
      <c r="AB141" s="45">
        <f>'S. ADMINISTRATIVO'!AB24</f>
        <v>0</v>
      </c>
      <c r="AC141" s="102">
        <f>'S. ADMINISTRATIVO'!AC24</f>
        <v>0</v>
      </c>
      <c r="AD141" s="45">
        <f>'S. ADMINISTRATIVO'!AD24</f>
        <v>0</v>
      </c>
      <c r="AE141" s="102">
        <f>'S. ADMINISTRATIVO'!AE24</f>
        <v>0</v>
      </c>
      <c r="AF141" s="45">
        <f>'S. ADMINISTRATIVO'!AF24</f>
        <v>0</v>
      </c>
      <c r="AG141" s="249">
        <f t="shared" si="88"/>
        <v>0</v>
      </c>
      <c r="AH141" s="249">
        <f t="shared" si="89"/>
        <v>0</v>
      </c>
      <c r="AI141" s="249">
        <f t="shared" ref="AI141:AI144" si="90">(AG141+AH141)/2</f>
        <v>0</v>
      </c>
      <c r="AJ141" s="278">
        <f>'S. ADMINISTRATIVO'!AJ24</f>
        <v>0</v>
      </c>
      <c r="AK141" s="94">
        <f>'S. ADMINISTRATIVO'!AK24</f>
        <v>26716000</v>
      </c>
      <c r="AL141" s="101">
        <f>'S. ADMINISTRATIVO'!AL24</f>
        <v>8500000</v>
      </c>
      <c r="AM141" s="101">
        <f>'S. ADMINISTRATIVO'!AM24</f>
        <v>18216000</v>
      </c>
      <c r="AN141" s="45">
        <f>'S. ADMINISTRATIVO'!AN24</f>
        <v>8500000</v>
      </c>
      <c r="AO141" s="102">
        <f>'S. ADMINISTRATIVO'!AO24</f>
        <v>0</v>
      </c>
      <c r="AP141" s="45">
        <f>'S. ADMINISTRATIVO'!AP24</f>
        <v>0</v>
      </c>
      <c r="AQ141" s="102">
        <f>'S. ADMINISTRATIVO'!AQ24</f>
        <v>0</v>
      </c>
      <c r="AR141" s="45">
        <f>'S. ADMINISTRATIVO'!AR24</f>
        <v>0</v>
      </c>
      <c r="AS141" s="102">
        <f>'S. ADMINISTRATIVO'!AS24</f>
        <v>0</v>
      </c>
      <c r="AT141" s="45">
        <f>'S. ADMINISTRATIVO'!AT24</f>
        <v>8500000</v>
      </c>
      <c r="AU141" s="363">
        <f t="shared" si="83"/>
        <v>0.31816140140739629</v>
      </c>
      <c r="AV141" s="363">
        <f t="shared" si="84"/>
        <v>0</v>
      </c>
      <c r="AW141" s="363">
        <f t="shared" si="85"/>
        <v>0.15908070070369815</v>
      </c>
      <c r="AX141" s="278" t="str">
        <f>'S. ADMINISTRATIVO'!AX24</f>
        <v>*ACTUALIZACION DE AUDITORES INTERNOS DE CALIDAD PARA LA UNIVERSDIAD SURCOLOMBIANA  (Contrato reposa en el archivo de la Vicerrectoría Administrativa)</v>
      </c>
    </row>
    <row r="142" spans="1:50" ht="32.25" customHeight="1" x14ac:dyDescent="0.25">
      <c r="A142" s="611"/>
      <c r="B142" s="543"/>
      <c r="C142" s="255" t="str">
        <f>Asignación!A128</f>
        <v>SA-PY3.4</v>
      </c>
      <c r="D142" s="2" t="str">
        <f>Asignación!B128</f>
        <v xml:space="preserve"> Gestión de la estructura academico-administrativa y financiera.</v>
      </c>
      <c r="E142" s="255">
        <f>Asignación!C128</f>
        <v>510</v>
      </c>
      <c r="F142" s="4" t="s">
        <v>72</v>
      </c>
      <c r="G142" s="331"/>
      <c r="H142" s="4"/>
      <c r="I142" s="94">
        <f>Asignación!K128</f>
        <v>2000000</v>
      </c>
      <c r="J142" s="94">
        <f>'S. ADMINISTRATIVO'!J25</f>
        <v>0</v>
      </c>
      <c r="K142" s="101">
        <f t="shared" si="86"/>
        <v>2000000</v>
      </c>
      <c r="L142" s="46" t="str">
        <f>'S. ADMINISTRATIVO'!L25</f>
        <v>MNP</v>
      </c>
      <c r="M142" s="46">
        <f>'S. ADMINISTRATIVO'!M25</f>
        <v>0</v>
      </c>
      <c r="N142" s="46" t="str">
        <f>'S. ADMINISTRATIVO'!N25</f>
        <v>MNP</v>
      </c>
      <c r="O142" s="46">
        <f>'S. ADMINISTRATIVO'!O25</f>
        <v>0</v>
      </c>
      <c r="P142" s="46" t="str">
        <f>'S. ADMINISTRATIVO'!P25</f>
        <v>MNP</v>
      </c>
      <c r="Q142" s="46">
        <f>'S. ADMINISTRATIVO'!Q25</f>
        <v>0</v>
      </c>
      <c r="R142" s="46" t="str">
        <f>'S. ADMINISTRATIVO'!R25</f>
        <v>MNP</v>
      </c>
      <c r="S142" s="267" t="str">
        <f>'S. ADMINISTRATIVO'!S25</f>
        <v>MNP</v>
      </c>
      <c r="T142" s="267" t="str">
        <f>'S. ADMINISTRATIVO'!T25</f>
        <v>MNP</v>
      </c>
      <c r="U142" s="267" t="str">
        <f>'S. ADMINISTRATIVO'!U25</f>
        <v>MNP</v>
      </c>
      <c r="V142" s="7">
        <f>'S. ADMINISTRATIVO'!V25</f>
        <v>0</v>
      </c>
      <c r="W142" s="94">
        <f>'S. ADMINISTRATIVO'!W25</f>
        <v>0</v>
      </c>
      <c r="X142" s="101">
        <f>'S. ADMINISTRATIVO'!X25</f>
        <v>0</v>
      </c>
      <c r="Y142" s="101">
        <f t="shared" si="87"/>
        <v>0</v>
      </c>
      <c r="Z142" s="45" t="str">
        <f>'S. ADMINISTRATIVO'!Z25</f>
        <v>MNP</v>
      </c>
      <c r="AA142" s="102">
        <f>'S. ADMINISTRATIVO'!AA25</f>
        <v>0</v>
      </c>
      <c r="AB142" s="45" t="str">
        <f>'S. ADMINISTRATIVO'!AB25</f>
        <v>MNP</v>
      </c>
      <c r="AC142" s="102">
        <f>'S. ADMINISTRATIVO'!AC25</f>
        <v>0</v>
      </c>
      <c r="AD142" s="45" t="str">
        <f>'S. ADMINISTRATIVO'!AD25</f>
        <v>MNP</v>
      </c>
      <c r="AE142" s="102">
        <f>'S. ADMINISTRATIVO'!AE25</f>
        <v>0</v>
      </c>
      <c r="AF142" s="45" t="str">
        <f>'S. ADMINISTRATIVO'!AF25</f>
        <v>MNP</v>
      </c>
      <c r="AG142" s="249">
        <f t="shared" si="88"/>
        <v>0</v>
      </c>
      <c r="AH142" s="249">
        <f t="shared" si="89"/>
        <v>0</v>
      </c>
      <c r="AI142" s="249">
        <f t="shared" si="90"/>
        <v>0</v>
      </c>
      <c r="AJ142" s="278">
        <f>'S. ADMINISTRATIVO'!AJ25</f>
        <v>0</v>
      </c>
      <c r="AK142" s="94">
        <f>'S. ADMINISTRATIVO'!AK25</f>
        <v>0</v>
      </c>
      <c r="AL142" s="101">
        <f>'S. ADMINISTRATIVO'!AL25</f>
        <v>0</v>
      </c>
      <c r="AM142" s="101">
        <f>'S. ADMINISTRATIVO'!AM25</f>
        <v>0</v>
      </c>
      <c r="AN142" s="45" t="str">
        <f>'S. ADMINISTRATIVO'!AN25</f>
        <v>MNP</v>
      </c>
      <c r="AO142" s="102">
        <f>'S. ADMINISTRATIVO'!AO25</f>
        <v>0</v>
      </c>
      <c r="AP142" s="45" t="str">
        <f>'S. ADMINISTRATIVO'!AP25</f>
        <v>MNP</v>
      </c>
      <c r="AQ142" s="102">
        <f>'S. ADMINISTRATIVO'!AQ25</f>
        <v>0</v>
      </c>
      <c r="AR142" s="45" t="str">
        <f>'S. ADMINISTRATIVO'!AR25</f>
        <v>MNP</v>
      </c>
      <c r="AS142" s="102">
        <f>'S. ADMINISTRATIVO'!AS25</f>
        <v>0</v>
      </c>
      <c r="AT142" s="45" t="str">
        <f>'S. ADMINISTRATIVO'!AT25</f>
        <v>MNP</v>
      </c>
      <c r="AU142" s="363">
        <f t="shared" si="83"/>
        <v>0</v>
      </c>
      <c r="AV142" s="363">
        <f t="shared" si="84"/>
        <v>0</v>
      </c>
      <c r="AW142" s="363">
        <f t="shared" si="85"/>
        <v>0</v>
      </c>
      <c r="AX142" s="278">
        <f>'S. ADMINISTRATIVO'!AX25</f>
        <v>0</v>
      </c>
    </row>
    <row r="143" spans="1:50" ht="62.25" customHeight="1" x14ac:dyDescent="0.25">
      <c r="A143" s="611"/>
      <c r="B143" s="60" t="s">
        <v>381</v>
      </c>
      <c r="C143" s="42" t="str">
        <f>Asignación!A129</f>
        <v>SA-PY5.1</v>
      </c>
      <c r="D143" s="255" t="str">
        <f>Asignación!B129</f>
        <v>Elaboración de estudio de factibilidad ténico-financiero de la modernización académico administrativa.</v>
      </c>
      <c r="E143" s="255">
        <f>Asignación!C129</f>
        <v>510</v>
      </c>
      <c r="F143" s="4" t="s">
        <v>384</v>
      </c>
      <c r="G143" s="331"/>
      <c r="H143" s="4"/>
      <c r="I143" s="94">
        <f>Asignación!K129</f>
        <v>50000000</v>
      </c>
      <c r="J143" s="94">
        <f>'S. ADMINISTRATIVO'!J26</f>
        <v>50000000</v>
      </c>
      <c r="K143" s="101">
        <f t="shared" si="86"/>
        <v>0</v>
      </c>
      <c r="L143" s="46">
        <f>'S. ADMINISTRATIVO'!L26</f>
        <v>50</v>
      </c>
      <c r="M143" s="46">
        <f>'S. ADMINISTRATIVO'!M26</f>
        <v>0.5</v>
      </c>
      <c r="N143" s="46">
        <f>'S. ADMINISTRATIVO'!N26</f>
        <v>50</v>
      </c>
      <c r="O143" s="46">
        <f>'S. ADMINISTRATIVO'!O26</f>
        <v>0.5</v>
      </c>
      <c r="P143" s="46">
        <f>'S. ADMINISTRATIVO'!P26</f>
        <v>0</v>
      </c>
      <c r="Q143" s="46">
        <f>'S. ADMINISTRATIVO'!Q26</f>
        <v>0</v>
      </c>
      <c r="R143" s="46">
        <f>'S. ADMINISTRATIVO'!R26</f>
        <v>100</v>
      </c>
      <c r="S143" s="267">
        <f>'S. ADMINISTRATIVO'!S26</f>
        <v>1</v>
      </c>
      <c r="T143" s="267">
        <f>'S. ADMINISTRATIVO'!T26</f>
        <v>100</v>
      </c>
      <c r="U143" s="267">
        <f>'S. ADMINISTRATIVO'!U26</f>
        <v>50.5</v>
      </c>
      <c r="V143" s="7" t="str">
        <f>'S. ADMINISTRATIVO'!V26</f>
        <v>*SERVICIOS DE APOYO A LA GESTION EN EL PROCESO DE REESTRUCTURACION ORGANIZACIONAL ACADEMICA Y ADMINISTRATIVA DE LA USCO  (Contratos de Apoyo y Abogado reposan en el Area de Talento Humano)</v>
      </c>
      <c r="W143" s="94">
        <f>'S. ADMINISTRATIVO'!W26</f>
        <v>0</v>
      </c>
      <c r="X143" s="101">
        <f>'S. ADMINISTRATIVO'!X26</f>
        <v>0</v>
      </c>
      <c r="Y143" s="101">
        <f t="shared" si="87"/>
        <v>0</v>
      </c>
      <c r="Z143" s="45">
        <f>'S. ADMINISTRATIVO'!Z26</f>
        <v>0</v>
      </c>
      <c r="AA143" s="102">
        <f>'S. ADMINISTRATIVO'!AA26</f>
        <v>0</v>
      </c>
      <c r="AB143" s="45">
        <f>'S. ADMINISTRATIVO'!AB26</f>
        <v>0</v>
      </c>
      <c r="AC143" s="102">
        <f>'S. ADMINISTRATIVO'!AC26</f>
        <v>0</v>
      </c>
      <c r="AD143" s="45">
        <f>'S. ADMINISTRATIVO'!AD26</f>
        <v>0</v>
      </c>
      <c r="AE143" s="102">
        <f>'S. ADMINISTRATIVO'!AE26</f>
        <v>0</v>
      </c>
      <c r="AF143" s="45">
        <f>'S. ADMINISTRATIVO'!AF26</f>
        <v>0</v>
      </c>
      <c r="AG143" s="249">
        <f t="shared" si="88"/>
        <v>0</v>
      </c>
      <c r="AH143" s="249">
        <f t="shared" si="89"/>
        <v>0</v>
      </c>
      <c r="AI143" s="249">
        <f t="shared" si="90"/>
        <v>0</v>
      </c>
      <c r="AJ143" s="278" t="str">
        <f>'S. ADMINISTRATIVO'!AJ26</f>
        <v>META EJECUTADA 1er.Semestre</v>
      </c>
      <c r="AK143" s="94">
        <f>'S. ADMINISTRATIVO'!AK26</f>
        <v>0</v>
      </c>
      <c r="AL143" s="101">
        <f>'S. ADMINISTRATIVO'!AL26</f>
        <v>0</v>
      </c>
      <c r="AM143" s="101">
        <f>'S. ADMINISTRATIVO'!AM26</f>
        <v>0</v>
      </c>
      <c r="AN143" s="45">
        <f>'S. ADMINISTRATIVO'!AN26</f>
        <v>0</v>
      </c>
      <c r="AO143" s="102">
        <f>'S. ADMINISTRATIVO'!AO26</f>
        <v>0</v>
      </c>
      <c r="AP143" s="45">
        <f>'S. ADMINISTRATIVO'!AP26</f>
        <v>0</v>
      </c>
      <c r="AQ143" s="102">
        <f>'S. ADMINISTRATIVO'!AQ26</f>
        <v>0</v>
      </c>
      <c r="AR143" s="45">
        <f>'S. ADMINISTRATIVO'!AR26</f>
        <v>0</v>
      </c>
      <c r="AS143" s="102">
        <f>'S. ADMINISTRATIVO'!AS26</f>
        <v>0</v>
      </c>
      <c r="AT143" s="45">
        <f>'S. ADMINISTRATIVO'!AT26</f>
        <v>0</v>
      </c>
      <c r="AU143" s="363">
        <f t="shared" si="83"/>
        <v>0</v>
      </c>
      <c r="AV143" s="363">
        <f t="shared" si="84"/>
        <v>0</v>
      </c>
      <c r="AW143" s="363">
        <f t="shared" si="85"/>
        <v>0</v>
      </c>
      <c r="AX143" s="278" t="str">
        <f>'S. ADMINISTRATIVO'!AX26</f>
        <v>META EJECUTADA 1er.Semestre</v>
      </c>
    </row>
    <row r="144" spans="1:50" ht="36" customHeight="1" x14ac:dyDescent="0.25">
      <c r="A144" s="611"/>
      <c r="B144" s="60" t="s">
        <v>386</v>
      </c>
      <c r="C144" s="42" t="str">
        <f>Asignación!A130</f>
        <v>SA-PY7.1</v>
      </c>
      <c r="D144" s="255" t="str">
        <f>Asignación!B130</f>
        <v>Ejecución Plan de Capacitación para el personal Administrativo y de Trabajadores Oficiales.</v>
      </c>
      <c r="E144" s="255">
        <f>Asignación!C130</f>
        <v>310</v>
      </c>
      <c r="F144" s="4" t="s">
        <v>389</v>
      </c>
      <c r="G144" s="331"/>
      <c r="H144" s="4"/>
      <c r="I144" s="94">
        <f>Asignación!K130</f>
        <v>217000000</v>
      </c>
      <c r="J144" s="94">
        <f>'S. ADMINISTRATIVO'!J27</f>
        <v>109249010</v>
      </c>
      <c r="K144" s="101">
        <f t="shared" si="86"/>
        <v>107750990</v>
      </c>
      <c r="L144" s="46">
        <f>'S. ADMINISTRATIVO'!L27</f>
        <v>3</v>
      </c>
      <c r="M144" s="46">
        <f>'S. ADMINISTRATIVO'!M27</f>
        <v>1.6666666666666666E-2</v>
      </c>
      <c r="N144" s="46">
        <f>'S. ADMINISTRATIVO'!N27</f>
        <v>4</v>
      </c>
      <c r="O144" s="46">
        <f>'S. ADMINISTRATIVO'!O27</f>
        <v>2.2222222222222223E-2</v>
      </c>
      <c r="P144" s="46">
        <f>'S. ADMINISTRATIVO'!P27</f>
        <v>4</v>
      </c>
      <c r="Q144" s="46">
        <f>'S. ADMINISTRATIVO'!Q27</f>
        <v>2.2222222222222223E-2</v>
      </c>
      <c r="R144" s="46">
        <f>'S. ADMINISTRATIVO'!R27</f>
        <v>11</v>
      </c>
      <c r="S144" s="267">
        <f>'S. ADMINISTRATIVO'!S27</f>
        <v>0.50695596287703015</v>
      </c>
      <c r="T144" s="267">
        <f>'S. ADMINISTRATIVO'!T27</f>
        <v>0.2</v>
      </c>
      <c r="U144" s="267">
        <f>'S. ADMINISTRATIVO'!U27</f>
        <v>0.35347798143851505</v>
      </c>
      <c r="V144" s="7" t="str">
        <f>'S. ADMINISTRATIVO'!V27</f>
        <v>*RELACIÓN DE CAPACITACIONES (Archivo de Talento Humano)</v>
      </c>
      <c r="W144" s="94">
        <f>'S. ADMINISTRATIVO'!W27</f>
        <v>215500000</v>
      </c>
      <c r="X144" s="101">
        <f>'S. ADMINISTRATIVO'!X27</f>
        <v>109249010</v>
      </c>
      <c r="Y144" s="101">
        <f t="shared" si="87"/>
        <v>106250990</v>
      </c>
      <c r="Z144" s="45">
        <f>'S. ADMINISTRATIVO'!Z27</f>
        <v>3</v>
      </c>
      <c r="AA144" s="102">
        <f>'S. ADMINISTRATIVO'!AA27</f>
        <v>1.6666666666666666E-2</v>
      </c>
      <c r="AB144" s="45">
        <f>'S. ADMINISTRATIVO'!AB27</f>
        <v>11</v>
      </c>
      <c r="AC144" s="102">
        <f>'S. ADMINISTRATIVO'!AC27</f>
        <v>6.1111111111111109E-2</v>
      </c>
      <c r="AD144" s="45">
        <f>'S. ADMINISTRATIVO'!AD27</f>
        <v>5</v>
      </c>
      <c r="AE144" s="102">
        <f>'S. ADMINISTRATIVO'!AE27</f>
        <v>2.7777777777777776E-2</v>
      </c>
      <c r="AF144" s="45">
        <f>'S. ADMINISTRATIVO'!AF27</f>
        <v>19</v>
      </c>
      <c r="AG144" s="249">
        <f t="shared" si="88"/>
        <v>0.50695596287703015</v>
      </c>
      <c r="AH144" s="249">
        <f t="shared" si="89"/>
        <v>0.10555555555555556</v>
      </c>
      <c r="AI144" s="249">
        <f t="shared" si="90"/>
        <v>0.30625575921629283</v>
      </c>
      <c r="AJ144" s="278" t="str">
        <f>'S. ADMINISTRATIVO'!AJ27</f>
        <v>*RELACIÓN DE CAPACITACIONES (Archivo de Talento Humano)</v>
      </c>
      <c r="AK144" s="94">
        <f>'S. ADMINISTRATIVO'!AK27</f>
        <v>215500000</v>
      </c>
      <c r="AL144" s="101">
        <f>'S. ADMINISTRATIVO'!AL27</f>
        <v>172865537</v>
      </c>
      <c r="AM144" s="101">
        <f>'S. ADMINISTRATIVO'!AM27</f>
        <v>42634463</v>
      </c>
      <c r="AN144" s="45">
        <f>'S. ADMINISTRATIVO'!AN27</f>
        <v>4</v>
      </c>
      <c r="AO144" s="102">
        <f>'S. ADMINISTRATIVO'!AO27</f>
        <v>11.316122106733744</v>
      </c>
      <c r="AP144" s="45">
        <f>'S. ADMINISTRATIVO'!AP27</f>
        <v>2</v>
      </c>
      <c r="AQ144" s="102">
        <f>'S. ADMINISTRATIVO'!AQ27</f>
        <v>5.6580610533668718</v>
      </c>
      <c r="AR144" s="45">
        <f>'S. ADMINISTRATIVO'!AR27</f>
        <v>5</v>
      </c>
      <c r="AS144" s="102">
        <f>'S. ADMINISTRATIVO'!AS27</f>
        <v>14.14515263341718</v>
      </c>
      <c r="AT144" s="45">
        <f>'S. ADMINISTRATIVO'!AT27</f>
        <v>11</v>
      </c>
      <c r="AU144" s="363">
        <f t="shared" si="83"/>
        <v>0.80216026450116007</v>
      </c>
      <c r="AV144" s="363">
        <f t="shared" si="84"/>
        <v>31.119335793517795</v>
      </c>
      <c r="AW144" s="363">
        <f t="shared" si="85"/>
        <v>15.960748029009478</v>
      </c>
      <c r="AX144" s="278" t="str">
        <f>'S. ADMINISTRATIVO'!AX27</f>
        <v>*RELACIÓN DE CAPACITACIONES (Archivo de Talento Humano)</v>
      </c>
    </row>
    <row r="145" spans="1:50" s="17" customFormat="1" ht="18.75" customHeight="1" x14ac:dyDescent="0.25">
      <c r="A145" s="16"/>
      <c r="B145" s="598" t="s">
        <v>390</v>
      </c>
      <c r="C145" s="598"/>
      <c r="D145" s="598"/>
      <c r="E145" s="62"/>
      <c r="F145" s="62"/>
      <c r="G145" s="62"/>
      <c r="H145" s="62"/>
      <c r="I145" s="15">
        <f>SUM(I125:I144)</f>
        <v>6214888697</v>
      </c>
      <c r="J145" s="15">
        <f t="shared" ref="J145:K145" si="91">SUM(J125:J144)</f>
        <v>1500507086</v>
      </c>
      <c r="K145" s="15">
        <f t="shared" si="91"/>
        <v>4714381611</v>
      </c>
      <c r="L145" s="16"/>
      <c r="M145" s="16"/>
      <c r="N145" s="16"/>
      <c r="O145" s="16"/>
      <c r="P145" s="16"/>
      <c r="Q145" s="16"/>
      <c r="R145" s="16"/>
      <c r="S145" s="16"/>
      <c r="T145" s="16"/>
      <c r="U145" s="16">
        <f t="shared" si="40"/>
        <v>0</v>
      </c>
      <c r="V145" s="16"/>
      <c r="W145" s="15">
        <f>SUM(W125:W144)</f>
        <v>6919243628</v>
      </c>
      <c r="X145" s="15">
        <f t="shared" ref="X145:Y145" si="92">SUM(X125:X144)</f>
        <v>2967703189</v>
      </c>
      <c r="Y145" s="15">
        <f t="shared" si="92"/>
        <v>3951540439</v>
      </c>
      <c r="Z145" s="16"/>
      <c r="AA145" s="16"/>
      <c r="AB145" s="16"/>
      <c r="AC145" s="16"/>
      <c r="AD145" s="16"/>
      <c r="AE145" s="16"/>
      <c r="AF145" s="16"/>
      <c r="AG145" s="16"/>
      <c r="AH145" s="16"/>
      <c r="AI145" s="16"/>
      <c r="AJ145" s="16"/>
      <c r="AK145" s="15">
        <f>SUM(AK125:AK144)</f>
        <v>6332918694</v>
      </c>
      <c r="AL145" s="15">
        <f t="shared" ref="AL145:AM145" si="93">SUM(AL125:AL144)</f>
        <v>3795815629</v>
      </c>
      <c r="AM145" s="15">
        <f t="shared" si="93"/>
        <v>2537103065</v>
      </c>
      <c r="AN145" s="16"/>
      <c r="AO145" s="16"/>
      <c r="AP145" s="16"/>
      <c r="AQ145" s="16"/>
      <c r="AR145" s="16"/>
      <c r="AS145" s="16"/>
      <c r="AT145" s="16"/>
      <c r="AU145" s="16"/>
      <c r="AV145" s="16"/>
      <c r="AW145" s="16"/>
      <c r="AX145" s="16"/>
    </row>
    <row r="146" spans="1:50" ht="5.25" customHeight="1" x14ac:dyDescent="0.25">
      <c r="C146" s="63"/>
      <c r="D146" s="63"/>
      <c r="E146" s="63"/>
      <c r="F146" s="63"/>
      <c r="G146" s="63"/>
      <c r="H146" s="63"/>
      <c r="I146" s="236"/>
      <c r="J146" s="236"/>
      <c r="W146" s="114"/>
      <c r="X146" s="114"/>
      <c r="AK146" s="335"/>
      <c r="AL146" s="335"/>
    </row>
    <row r="147" spans="1:50" ht="16.5" customHeight="1" x14ac:dyDescent="0.25">
      <c r="C147" s="621" t="s">
        <v>391</v>
      </c>
      <c r="D147" s="622"/>
      <c r="E147" s="623"/>
      <c r="F147" s="64"/>
      <c r="G147" s="100"/>
      <c r="H147" s="64"/>
      <c r="I147" s="15">
        <f>I31+I69+I101+I124+I145</f>
        <v>19717367331</v>
      </c>
      <c r="J147" s="15" t="e">
        <f>J31+J69+J101+J124+J145</f>
        <v>#REF!</v>
      </c>
      <c r="K147" s="15" t="e">
        <f>K31+K69+K101+K124+K145</f>
        <v>#REF!</v>
      </c>
      <c r="W147" s="15" t="e">
        <f>W31+W69+W101+W124+W145</f>
        <v>#REF!</v>
      </c>
      <c r="X147" s="15" t="e">
        <f>X31+X69+X101+X124+X145</f>
        <v>#REF!</v>
      </c>
      <c r="Y147" s="15" t="e">
        <f>Y31+Y69+Y101+Y124+Y145</f>
        <v>#REF!</v>
      </c>
      <c r="AK147" s="15" t="e">
        <f>AK31+AK69+AK101+AK124+AK145</f>
        <v>#REF!</v>
      </c>
      <c r="AL147" s="15" t="e">
        <f>AL31+AL69+AL101+AL124+AL145</f>
        <v>#REF!</v>
      </c>
      <c r="AM147" s="15" t="e">
        <f>AM31+AM69+AM101+AM124+AM145</f>
        <v>#REF!</v>
      </c>
    </row>
    <row r="148" spans="1:50" x14ac:dyDescent="0.25">
      <c r="C148" s="65"/>
      <c r="D148" s="66"/>
      <c r="F148" s="67"/>
      <c r="G148" s="358"/>
      <c r="H148" s="67"/>
      <c r="I148" s="68"/>
      <c r="W148" s="68"/>
      <c r="AK148" s="68"/>
    </row>
    <row r="149" spans="1:50" x14ac:dyDescent="0.25">
      <c r="C149" s="88"/>
      <c r="D149" s="89" t="s">
        <v>421</v>
      </c>
      <c r="E149" s="31">
        <v>111</v>
      </c>
      <c r="F149" s="66"/>
      <c r="G149" s="359"/>
      <c r="H149" s="66"/>
      <c r="I149" s="68">
        <f>SUMIF($E$9:$E$144,"111",$I$9:$I$144)</f>
        <v>2075119028</v>
      </c>
      <c r="J149" s="68">
        <f>SUMIF($E$9:$E$144,"111",$J$9:$J$144)</f>
        <v>193491810</v>
      </c>
      <c r="K149" s="68">
        <f>SUMIF($E$9:$E$144,"111",$K$9:$K$144)</f>
        <v>1881627218</v>
      </c>
      <c r="W149" s="68">
        <f>SUMIF($E$9:$E$144,"111",$W$9:$W$144)</f>
        <v>2258401424</v>
      </c>
      <c r="X149" s="68">
        <f>SUMIF($E$9:$E$144,"111",$X$9:$X$144)</f>
        <v>597997393</v>
      </c>
      <c r="Y149" s="68">
        <f>SUMIF($E$9:$E$144,"111",$Y$9:$Y$144)</f>
        <v>1660404031</v>
      </c>
      <c r="AK149" s="68">
        <f>SUMIF($E$9:$E$144,"111",$W$9:$W$144)</f>
        <v>2258401424</v>
      </c>
      <c r="AL149" s="68">
        <f>SUMIF($E$9:$E$144,"111",$X$9:$X$144)</f>
        <v>597997393</v>
      </c>
      <c r="AM149" s="68">
        <f>SUMIF($E$9:$E$144,"111",$Y$9:$Y$144)</f>
        <v>1660404031</v>
      </c>
    </row>
    <row r="150" spans="1:50" x14ac:dyDescent="0.25">
      <c r="C150" s="90"/>
      <c r="D150" s="89" t="s">
        <v>422</v>
      </c>
      <c r="E150" s="31">
        <v>211</v>
      </c>
      <c r="F150" s="69"/>
      <c r="G150" s="360"/>
      <c r="H150" s="69"/>
      <c r="I150" s="68">
        <f>SUMIF($E$9:$E$144,"211",$I$9:$I$144)</f>
        <v>2889358754</v>
      </c>
      <c r="J150" s="68">
        <f>SUMIF($E$9:$E$144,"211",$J$9:$J$144)</f>
        <v>826802817</v>
      </c>
      <c r="K150" s="68">
        <f>SUMIF($E$9:$E$144,"211",$K$9:$K$144)</f>
        <v>2062555937</v>
      </c>
      <c r="W150" s="68">
        <f>SUMIF($E$9:$E$144,"211",$W$9:$W$144)</f>
        <v>3637298707</v>
      </c>
      <c r="X150" s="68">
        <f>SUMIF($E$9:$E$144,"211",$X$9:$X$144)</f>
        <v>1584683753</v>
      </c>
      <c r="Y150" s="68">
        <f>SUMIF($E$9:$E$144,"211",$Y$9:$Y$144)</f>
        <v>2052614954</v>
      </c>
      <c r="AK150" s="68">
        <f>SUMIF($E$9:$E$144,"211",$W$9:$W$144)</f>
        <v>3637298707</v>
      </c>
      <c r="AL150" s="68">
        <f>SUMIF($E$9:$E$144,"211",$X$9:$X$144)</f>
        <v>1584683753</v>
      </c>
      <c r="AM150" s="68">
        <f>SUMIF($E$9:$E$144,"211",$Y$9:$Y$144)</f>
        <v>2052614954</v>
      </c>
    </row>
    <row r="151" spans="1:50" x14ac:dyDescent="0.25">
      <c r="C151" s="90"/>
      <c r="D151" s="89" t="s">
        <v>423</v>
      </c>
      <c r="E151" s="31">
        <v>310</v>
      </c>
      <c r="F151" s="69"/>
      <c r="G151" s="360"/>
      <c r="H151" s="69"/>
      <c r="I151" s="68">
        <f>SUMIF($E$9:$E$144,"310",$I$9:$I$144)</f>
        <v>807530623</v>
      </c>
      <c r="J151" s="68" t="e">
        <f>SUMIF($E$9:$E$144,"310",$J$9:$J$144)</f>
        <v>#REF!</v>
      </c>
      <c r="K151" s="68" t="e">
        <f>SUMIF($E$9:$E$144,"310",$K$9:$K$144)</f>
        <v>#REF!</v>
      </c>
      <c r="W151" s="68" t="e">
        <f>SUMIF($E$9:$E$144,"310",$W$9:$W$144)</f>
        <v>#REF!</v>
      </c>
      <c r="X151" s="68" t="e">
        <f>SUMIF($E$9:$E$144,"310",$X$9:$X$144)</f>
        <v>#REF!</v>
      </c>
      <c r="Y151" s="68" t="e">
        <f>SUMIF($E$9:$E$144,"310",$Y$9:$Y$144)</f>
        <v>#REF!</v>
      </c>
      <c r="AK151" s="68" t="e">
        <f>SUMIF($E$9:$E$144,"310",$W$9:$W$144)</f>
        <v>#REF!</v>
      </c>
      <c r="AL151" s="68" t="e">
        <f>SUMIF($E$9:$E$144,"310",$X$9:$X$144)</f>
        <v>#REF!</v>
      </c>
      <c r="AM151" s="68" t="e">
        <f>SUMIF($E$9:$E$144,"310",$Y$9:$Y$144)</f>
        <v>#REF!</v>
      </c>
    </row>
    <row r="152" spans="1:50" x14ac:dyDescent="0.25">
      <c r="C152" s="91"/>
      <c r="D152" s="89" t="s">
        <v>424</v>
      </c>
      <c r="E152" s="31">
        <v>410</v>
      </c>
      <c r="F152" s="69"/>
      <c r="G152" s="360"/>
      <c r="H152" s="69"/>
      <c r="I152" s="68">
        <f>SUMIF($E$9:$E$144,"410",$I$9:$I$144)</f>
        <v>6782038629</v>
      </c>
      <c r="J152" s="68">
        <f>SUMIF($E$9:$E$144,"410",$J$9:$J$144)</f>
        <v>1613550876</v>
      </c>
      <c r="K152" s="68">
        <f>SUMIF($E$9:$E$144,"410",$K$9:$K$144)</f>
        <v>5168487753</v>
      </c>
      <c r="W152" s="68">
        <f>SUMIF($E$9:$E$144,"410",$W$9:$W$144)</f>
        <v>7127077871</v>
      </c>
      <c r="X152" s="68">
        <f>SUMIF($E$9:$E$144,"410",$X$9:$X$144)</f>
        <v>3075142429</v>
      </c>
      <c r="Y152" s="68">
        <f>SUMIF($E$9:$E$144,"410",$Y$9:$Y$144)</f>
        <v>4051935442</v>
      </c>
      <c r="AK152" s="68">
        <f>SUMIF($E$9:$E$144,"410",$W$9:$W$144)</f>
        <v>7127077871</v>
      </c>
      <c r="AL152" s="68">
        <f>SUMIF($E$9:$E$144,"410",$X$9:$X$144)</f>
        <v>3075142429</v>
      </c>
      <c r="AM152" s="68">
        <f>SUMIF($E$9:$E$144,"410",$Y$9:$Y$144)</f>
        <v>4051935442</v>
      </c>
    </row>
    <row r="153" spans="1:50" x14ac:dyDescent="0.25">
      <c r="C153" s="91"/>
      <c r="D153" s="92" t="s">
        <v>425</v>
      </c>
      <c r="E153" s="31">
        <v>510</v>
      </c>
      <c r="F153" s="71"/>
      <c r="G153" s="361"/>
      <c r="H153" s="71"/>
      <c r="I153" s="68">
        <f>SUMIF($E$9:$E$144,"510",$I$9:$I$144)</f>
        <v>1472682191</v>
      </c>
      <c r="J153" s="68" t="e">
        <f>SUMIF($E$9:$E$144,"510",$J$9:$J$144)</f>
        <v>#REF!</v>
      </c>
      <c r="K153" s="68" t="e">
        <f>SUMIF($E$9:$E$144,"510",$K$9:$K$144)</f>
        <v>#REF!</v>
      </c>
      <c r="W153" s="68" t="e">
        <f>SUMIF($E$9:$E$144,"510",$W$9:$W$144)</f>
        <v>#REF!</v>
      </c>
      <c r="X153" s="68" t="e">
        <f>SUMIF($E$9:$E$144,"510",$X$9:$X$144)</f>
        <v>#REF!</v>
      </c>
      <c r="Y153" s="68" t="e">
        <f>SUMIF($E$9:$E$144,"510",$Y$9:$Y$144)</f>
        <v>#REF!</v>
      </c>
      <c r="AK153" s="68" t="e">
        <f>SUMIF($E$9:$E$144,"510",$W$9:$W$144)</f>
        <v>#REF!</v>
      </c>
      <c r="AL153" s="68" t="e">
        <f>SUMIF($E$9:$E$144,"510",$X$9:$X$144)</f>
        <v>#REF!</v>
      </c>
      <c r="AM153" s="68" t="e">
        <f>SUMIF($E$9:$E$144,"510",$Y$9:$Y$144)</f>
        <v>#REF!</v>
      </c>
    </row>
    <row r="154" spans="1:50" x14ac:dyDescent="0.25">
      <c r="C154" s="91"/>
      <c r="D154" s="89" t="s">
        <v>426</v>
      </c>
      <c r="E154" s="31">
        <v>520</v>
      </c>
      <c r="F154" s="65"/>
      <c r="G154" s="104"/>
      <c r="H154" s="65"/>
      <c r="I154" s="68">
        <f>SUMIF($E$9:$E$144,"520",$I$9:$I$144)</f>
        <v>2077873680</v>
      </c>
      <c r="J154" s="68">
        <f>SUMIF($E$9:$E$144,"520",$J$9:$J$144)</f>
        <v>485984761</v>
      </c>
      <c r="K154" s="68">
        <f>SUMIF($E$9:$E$144,"520",$K$9:$K$144)</f>
        <v>1591888919</v>
      </c>
      <c r="W154" s="68">
        <f>SUMIF($E$9:$E$144,"520",$W$9:$W$144)</f>
        <v>2427563441</v>
      </c>
      <c r="X154" s="68">
        <f>SUMIF($E$9:$E$144,"520",$X$9:$X$144)</f>
        <v>1497180182</v>
      </c>
      <c r="Y154" s="68">
        <f>SUMIF($E$9:$E$144,"520",$Y$9:$Y$144)</f>
        <v>930383259</v>
      </c>
      <c r="AK154" s="68">
        <f>SUMIF($E$9:$E$144,"520",$W$9:$W$144)</f>
        <v>2427563441</v>
      </c>
      <c r="AL154" s="68">
        <f>SUMIF($E$9:$E$144,"520",$X$9:$X$144)</f>
        <v>1497180182</v>
      </c>
      <c r="AM154" s="68">
        <f>SUMIF($E$9:$E$144,"520",$Y$9:$Y$144)</f>
        <v>930383259</v>
      </c>
    </row>
    <row r="155" spans="1:50" x14ac:dyDescent="0.25">
      <c r="C155" s="91"/>
      <c r="D155" s="89" t="s">
        <v>427</v>
      </c>
      <c r="E155" s="31" t="s">
        <v>370</v>
      </c>
      <c r="F155" s="65"/>
      <c r="G155" s="104"/>
      <c r="H155" s="65"/>
      <c r="I155" s="68">
        <f>SUMIF($E$9:$E$144,"520-2",$I$9:$I$144)</f>
        <v>700456632</v>
      </c>
      <c r="J155" s="68">
        <f>SUMIF($E$9:$E$144,"520-2",$J$9:$J$144)</f>
        <v>207998915</v>
      </c>
      <c r="K155" s="68">
        <f>SUMIF($E$9:$E$144,"520-2",$K$9:$K$144)</f>
        <v>492457717</v>
      </c>
      <c r="W155" s="68">
        <f>SUMIF($E$9:$E$144,"520-2",$W$9:$W$144)</f>
        <v>549305214</v>
      </c>
      <c r="X155" s="68">
        <f>SUMIF($E$9:$E$144,"520-2",$X$9:$X$144)</f>
        <v>449606837</v>
      </c>
      <c r="Y155" s="68">
        <f>SUMIF($E$9:$E$144,"520-2",$Y$9:$Y$144)</f>
        <v>99698377</v>
      </c>
      <c r="AK155" s="68">
        <f>SUMIF($E$9:$E$144,"520-2",$W$9:$W$144)</f>
        <v>549305214</v>
      </c>
      <c r="AL155" s="68">
        <f>SUMIF($E$9:$E$144,"520-2",$X$9:$X$144)</f>
        <v>449606837</v>
      </c>
      <c r="AM155" s="68">
        <f>SUMIF($E$9:$E$144,"520-2",$Y$9:$Y$144)</f>
        <v>99698377</v>
      </c>
    </row>
    <row r="156" spans="1:50" x14ac:dyDescent="0.25">
      <c r="C156" s="91"/>
      <c r="D156" s="89" t="s">
        <v>428</v>
      </c>
      <c r="E156" s="7"/>
      <c r="I156" s="67">
        <f>SUM(I149:I155)</f>
        <v>16805059537</v>
      </c>
      <c r="J156" s="67" t="e">
        <f t="shared" ref="J156:K156" si="94">SUM(J149:J155)</f>
        <v>#REF!</v>
      </c>
      <c r="K156" s="67" t="e">
        <f t="shared" si="94"/>
        <v>#REF!</v>
      </c>
      <c r="W156" s="67" t="e">
        <f>SUM(W149:W155)</f>
        <v>#REF!</v>
      </c>
      <c r="X156" s="67" t="e">
        <f t="shared" ref="X156:Y156" si="95">SUM(X149:X155)</f>
        <v>#REF!</v>
      </c>
      <c r="Y156" s="67" t="e">
        <f t="shared" si="95"/>
        <v>#REF!</v>
      </c>
      <c r="AK156" s="67" t="e">
        <f>SUM(AK149:AK155)</f>
        <v>#REF!</v>
      </c>
      <c r="AL156" s="67" t="e">
        <f t="shared" ref="AL156:AM156" si="96">SUM(AL149:AL155)</f>
        <v>#REF!</v>
      </c>
      <c r="AM156" s="67" t="e">
        <f t="shared" si="96"/>
        <v>#REF!</v>
      </c>
    </row>
    <row r="157" spans="1:50" x14ac:dyDescent="0.25">
      <c r="C157" s="91"/>
      <c r="D157" s="89" t="s">
        <v>281</v>
      </c>
      <c r="E157" s="84">
        <v>301</v>
      </c>
      <c r="F157" s="67"/>
      <c r="G157" s="358"/>
      <c r="H157" s="67"/>
      <c r="I157" s="68">
        <f>SUMIF($E$9:$E$144,"301",$I$9:$I$144)</f>
        <v>2912307794</v>
      </c>
      <c r="J157" s="68">
        <f>SUMIF($E$9:$E$144,"301",$J$9:$J$144)</f>
        <v>1989545885</v>
      </c>
      <c r="K157" s="68">
        <f>SUMIF($E$9:$E$144,"301",$K$9:$K$144)</f>
        <v>922761909</v>
      </c>
      <c r="W157" s="68">
        <f>SUMIF($E$9:$E$144,"301",$W$9:$W$144)</f>
        <v>2849006233</v>
      </c>
      <c r="X157" s="68">
        <f>SUMIF($E$9:$E$144,"301",$X$9:$X$144)</f>
        <v>1392557060</v>
      </c>
      <c r="Y157" s="68">
        <f>SUMIF($E$9:$E$144,"301",$Y$9:$Y$144)</f>
        <v>1456449173</v>
      </c>
      <c r="AK157" s="68">
        <f>SUMIF($E$9:$E$144,"301",$W$9:$W$144)</f>
        <v>2849006233</v>
      </c>
      <c r="AL157" s="68">
        <f>SUMIF($E$9:$E$144,"301",$X$9:$X$144)</f>
        <v>1392557060</v>
      </c>
      <c r="AM157" s="68">
        <f>SUMIF($E$9:$E$144,"301",$Y$9:$Y$144)</f>
        <v>1456449173</v>
      </c>
    </row>
    <row r="158" spans="1:50" ht="15.75" thickBot="1" x14ac:dyDescent="0.3">
      <c r="C158" s="605" t="s">
        <v>429</v>
      </c>
      <c r="D158" s="606"/>
      <c r="E158" s="93"/>
      <c r="I158" s="68">
        <f>I156+I157</f>
        <v>19717367331</v>
      </c>
      <c r="J158" s="68" t="e">
        <f t="shared" ref="J158:K158" si="97">J156+J157</f>
        <v>#REF!</v>
      </c>
      <c r="K158" s="68" t="e">
        <f t="shared" si="97"/>
        <v>#REF!</v>
      </c>
      <c r="W158" s="68" t="e">
        <f>W156+W157</f>
        <v>#REF!</v>
      </c>
      <c r="X158" s="68" t="e">
        <f t="shared" ref="X158:Y158" si="98">X156+X157</f>
        <v>#REF!</v>
      </c>
      <c r="Y158" s="68" t="e">
        <f t="shared" si="98"/>
        <v>#REF!</v>
      </c>
      <c r="AK158" s="68" t="e">
        <f>AK156+AK157</f>
        <v>#REF!</v>
      </c>
      <c r="AL158" s="68" t="e">
        <f t="shared" ref="AL158:AM158" si="99">AL156+AL157</f>
        <v>#REF!</v>
      </c>
      <c r="AM158" s="68" t="e">
        <f t="shared" si="99"/>
        <v>#REF!</v>
      </c>
    </row>
    <row r="159" spans="1:50" ht="15.75" thickTop="1" x14ac:dyDescent="0.25">
      <c r="I159" s="67">
        <f>I147-I158</f>
        <v>0</v>
      </c>
      <c r="K159" s="67"/>
      <c r="Y159" s="67"/>
      <c r="AM159" s="67"/>
    </row>
  </sheetData>
  <mergeCells count="175">
    <mergeCell ref="AK110:AK111"/>
    <mergeCell ref="AL110:AL111"/>
    <mergeCell ref="AM110:AM111"/>
    <mergeCell ref="AK112:AK114"/>
    <mergeCell ref="AL112:AL114"/>
    <mergeCell ref="AM112:AM114"/>
    <mergeCell ref="AK115:AK116"/>
    <mergeCell ref="AL115:AL116"/>
    <mergeCell ref="AM115:AM116"/>
    <mergeCell ref="AK6:AK7"/>
    <mergeCell ref="AL6:AL7"/>
    <mergeCell ref="AM6:AM7"/>
    <mergeCell ref="AN6:AS6"/>
    <mergeCell ref="AT6:AT8"/>
    <mergeCell ref="AU6:AU7"/>
    <mergeCell ref="AV6:AV7"/>
    <mergeCell ref="AW6:AW7"/>
    <mergeCell ref="AX6:AX8"/>
    <mergeCell ref="AN7:AO7"/>
    <mergeCell ref="AP7:AQ7"/>
    <mergeCell ref="AR7:AS7"/>
    <mergeCell ref="AK8:AM8"/>
    <mergeCell ref="AU8:AW8"/>
    <mergeCell ref="AL1:AM3"/>
    <mergeCell ref="AN1:AN3"/>
    <mergeCell ref="AO1:AW1"/>
    <mergeCell ref="AX1:AX3"/>
    <mergeCell ref="AO2:AW2"/>
    <mergeCell ref="AO3:AW3"/>
    <mergeCell ref="AK4:AM4"/>
    <mergeCell ref="AO4:AQ4"/>
    <mergeCell ref="AR4:AS4"/>
    <mergeCell ref="AT4:AU4"/>
    <mergeCell ref="AV4:AW4"/>
    <mergeCell ref="B145:D145"/>
    <mergeCell ref="C147:E147"/>
    <mergeCell ref="B124:F124"/>
    <mergeCell ref="A128:A137"/>
    <mergeCell ref="B128:B130"/>
    <mergeCell ref="B131:B137"/>
    <mergeCell ref="A139:A144"/>
    <mergeCell ref="B125:B127"/>
    <mergeCell ref="A102:A123"/>
    <mergeCell ref="B102:B109"/>
    <mergeCell ref="B115:B116"/>
    <mergeCell ref="C115:C116"/>
    <mergeCell ref="E115:E116"/>
    <mergeCell ref="F115:F116"/>
    <mergeCell ref="B117:B122"/>
    <mergeCell ref="C117:C120"/>
    <mergeCell ref="B110:B111"/>
    <mergeCell ref="C110:C111"/>
    <mergeCell ref="D110:D111"/>
    <mergeCell ref="B112:B114"/>
    <mergeCell ref="C112:C114"/>
    <mergeCell ref="E112:E114"/>
    <mergeCell ref="F112:F114"/>
    <mergeCell ref="B101:F101"/>
    <mergeCell ref="A59:A68"/>
    <mergeCell ref="B59:B60"/>
    <mergeCell ref="B61:B62"/>
    <mergeCell ref="B63:B68"/>
    <mergeCell ref="B69:E69"/>
    <mergeCell ref="A70:A81"/>
    <mergeCell ref="B70:B72"/>
    <mergeCell ref="B74:B81"/>
    <mergeCell ref="B91:B94"/>
    <mergeCell ref="A82:A94"/>
    <mergeCell ref="A95:A100"/>
    <mergeCell ref="B95:B96"/>
    <mergeCell ref="B97:B100"/>
    <mergeCell ref="B88:B89"/>
    <mergeCell ref="B82:B87"/>
    <mergeCell ref="I117:I120"/>
    <mergeCell ref="J117:J120"/>
    <mergeCell ref="K117:K120"/>
    <mergeCell ref="V115:V116"/>
    <mergeCell ref="W110:W111"/>
    <mergeCell ref="X110:X111"/>
    <mergeCell ref="Y110:Y111"/>
    <mergeCell ref="W112:W114"/>
    <mergeCell ref="X112:X114"/>
    <mergeCell ref="Y112:Y114"/>
    <mergeCell ref="I112:I114"/>
    <mergeCell ref="J112:J114"/>
    <mergeCell ref="K112:K114"/>
    <mergeCell ref="W115:W116"/>
    <mergeCell ref="X115:X116"/>
    <mergeCell ref="Y115:Y116"/>
    <mergeCell ref="I115:I116"/>
    <mergeCell ref="J115:J116"/>
    <mergeCell ref="K115:K116"/>
    <mergeCell ref="B37:B45"/>
    <mergeCell ref="A46:A58"/>
    <mergeCell ref="B50:B51"/>
    <mergeCell ref="B52:B54"/>
    <mergeCell ref="B55:B58"/>
    <mergeCell ref="A32:A45"/>
    <mergeCell ref="B46:B49"/>
    <mergeCell ref="H9:H11"/>
    <mergeCell ref="B32:B36"/>
    <mergeCell ref="B28:B30"/>
    <mergeCell ref="B18:B22"/>
    <mergeCell ref="B26:B27"/>
    <mergeCell ref="A1:A3"/>
    <mergeCell ref="X1:Y3"/>
    <mergeCell ref="B1:W1"/>
    <mergeCell ref="B2:W2"/>
    <mergeCell ref="B3:W3"/>
    <mergeCell ref="A6:A8"/>
    <mergeCell ref="A9:A30"/>
    <mergeCell ref="B23:B25"/>
    <mergeCell ref="AG6:AG7"/>
    <mergeCell ref="B9:B11"/>
    <mergeCell ref="B13:B17"/>
    <mergeCell ref="H6:H8"/>
    <mergeCell ref="G6:G8"/>
    <mergeCell ref="F6:F8"/>
    <mergeCell ref="E6:E8"/>
    <mergeCell ref="D6:D8"/>
    <mergeCell ref="C6:C8"/>
    <mergeCell ref="B6:B8"/>
    <mergeCell ref="W6:W7"/>
    <mergeCell ref="X6:X7"/>
    <mergeCell ref="Y6:Y7"/>
    <mergeCell ref="Z6:AE6"/>
    <mergeCell ref="AF6:AF8"/>
    <mergeCell ref="AG8:AI8"/>
    <mergeCell ref="C158:D158"/>
    <mergeCell ref="E110:E111"/>
    <mergeCell ref="B139:B142"/>
    <mergeCell ref="B4:C4"/>
    <mergeCell ref="E4:F4"/>
    <mergeCell ref="G4:H4"/>
    <mergeCell ref="W4:Y4"/>
    <mergeCell ref="AJ1:AJ3"/>
    <mergeCell ref="Z1:Z3"/>
    <mergeCell ref="AH4:AI4"/>
    <mergeCell ref="AF4:AG4"/>
    <mergeCell ref="AD4:AE4"/>
    <mergeCell ref="AA4:AC4"/>
    <mergeCell ref="AA1:AI1"/>
    <mergeCell ref="AA2:AI2"/>
    <mergeCell ref="AA3:AI3"/>
    <mergeCell ref="AH6:AH7"/>
    <mergeCell ref="AI6:AI7"/>
    <mergeCell ref="AJ6:AJ8"/>
    <mergeCell ref="Z7:AA7"/>
    <mergeCell ref="AB7:AC7"/>
    <mergeCell ref="AD7:AE7"/>
    <mergeCell ref="W8:Y8"/>
    <mergeCell ref="B31:E31"/>
    <mergeCell ref="I4:K4"/>
    <mergeCell ref="M4:O4"/>
    <mergeCell ref="P4:Q4"/>
    <mergeCell ref="R4:S4"/>
    <mergeCell ref="T4:U4"/>
    <mergeCell ref="I6:I7"/>
    <mergeCell ref="J6:J7"/>
    <mergeCell ref="K6:K7"/>
    <mergeCell ref="L6:Q6"/>
    <mergeCell ref="R6:R8"/>
    <mergeCell ref="S6:S7"/>
    <mergeCell ref="T6:T7"/>
    <mergeCell ref="U6:U7"/>
    <mergeCell ref="V6:V8"/>
    <mergeCell ref="L7:M7"/>
    <mergeCell ref="N7:O7"/>
    <mergeCell ref="P7:Q7"/>
    <mergeCell ref="I8:K8"/>
    <mergeCell ref="S8:U8"/>
    <mergeCell ref="I110:I111"/>
    <mergeCell ref="J110:J111"/>
    <mergeCell ref="K110:K111"/>
    <mergeCell ref="V104:V105"/>
  </mergeCells>
  <conditionalFormatting sqref="AG9 AG70:AI100 AG102:AI123">
    <cfRule type="cellIs" dxfId="664" priority="620" operator="greaterThan">
      <formula>50.1%</formula>
    </cfRule>
    <cfRule type="cellIs" dxfId="663" priority="621" operator="between">
      <formula>37.01%</formula>
      <formula>50%</formula>
    </cfRule>
    <cfRule type="cellIs" dxfId="662" priority="622" operator="between">
      <formula>16%</formula>
      <formula>37%</formula>
    </cfRule>
    <cfRule type="cellIs" dxfId="661" priority="623" operator="lessThan">
      <formula>16%</formula>
    </cfRule>
  </conditionalFormatting>
  <conditionalFormatting sqref="AI69 AI101">
    <cfRule type="cellIs" dxfId="660" priority="360" operator="greaterThan">
      <formula>50.1%</formula>
    </cfRule>
    <cfRule type="cellIs" dxfId="659" priority="361" operator="between">
      <formula>37.1%</formula>
      <formula>50%</formula>
    </cfRule>
    <cfRule type="cellIs" dxfId="658" priority="362" operator="between">
      <formula>16%</formula>
      <formula>37%</formula>
    </cfRule>
    <cfRule type="cellIs" dxfId="657" priority="363" operator="lessThan">
      <formula>16%</formula>
    </cfRule>
  </conditionalFormatting>
  <conditionalFormatting sqref="AH9:AI9">
    <cfRule type="cellIs" dxfId="656" priority="200" operator="greaterThan">
      <formula>50.1%</formula>
    </cfRule>
    <cfRule type="cellIs" dxfId="655" priority="201" operator="between">
      <formula>37.01%</formula>
      <formula>50%</formula>
    </cfRule>
    <cfRule type="cellIs" dxfId="654" priority="202" operator="between">
      <formula>16%</formula>
      <formula>37%</formula>
    </cfRule>
    <cfRule type="cellIs" dxfId="653" priority="203" operator="lessThan">
      <formula>16%</formula>
    </cfRule>
  </conditionalFormatting>
  <conditionalFormatting sqref="AG10:AG14">
    <cfRule type="cellIs" dxfId="652" priority="196" operator="greaterThan">
      <formula>50.1%</formula>
    </cfRule>
    <cfRule type="cellIs" dxfId="651" priority="197" operator="between">
      <formula>37.01%</formula>
      <formula>50%</formula>
    </cfRule>
    <cfRule type="cellIs" dxfId="650" priority="198" operator="between">
      <formula>16%</formula>
      <formula>37%</formula>
    </cfRule>
    <cfRule type="cellIs" dxfId="649" priority="199" operator="lessThan">
      <formula>16%</formula>
    </cfRule>
  </conditionalFormatting>
  <conditionalFormatting sqref="AH10:AI14">
    <cfRule type="cellIs" dxfId="648" priority="192" operator="greaterThan">
      <formula>50.1%</formula>
    </cfRule>
    <cfRule type="cellIs" dxfId="647" priority="193" operator="between">
      <formula>37.01%</formula>
      <formula>50%</formula>
    </cfRule>
    <cfRule type="cellIs" dxfId="646" priority="194" operator="between">
      <formula>16%</formula>
      <formula>37%</formula>
    </cfRule>
    <cfRule type="cellIs" dxfId="645" priority="195" operator="lessThan">
      <formula>16%</formula>
    </cfRule>
  </conditionalFormatting>
  <conditionalFormatting sqref="AG32:AG68 AG15:AG30">
    <cfRule type="cellIs" dxfId="644" priority="188" operator="greaterThan">
      <formula>50.1%</formula>
    </cfRule>
    <cfRule type="cellIs" dxfId="643" priority="189" operator="between">
      <formula>37.01%</formula>
      <formula>50%</formula>
    </cfRule>
    <cfRule type="cellIs" dxfId="642" priority="190" operator="between">
      <formula>16%</formula>
      <formula>37%</formula>
    </cfRule>
    <cfRule type="cellIs" dxfId="641" priority="191" operator="lessThan">
      <formula>16%</formula>
    </cfRule>
  </conditionalFormatting>
  <conditionalFormatting sqref="AH32:AI68 AH15:AI30">
    <cfRule type="cellIs" dxfId="640" priority="184" operator="greaterThan">
      <formula>50.1%</formula>
    </cfRule>
    <cfRule type="cellIs" dxfId="639" priority="185" operator="between">
      <formula>37.01%</formula>
      <formula>50%</formula>
    </cfRule>
    <cfRule type="cellIs" dxfId="638" priority="186" operator="between">
      <formula>16%</formula>
      <formula>37%</formula>
    </cfRule>
    <cfRule type="cellIs" dxfId="637" priority="187" operator="lessThan">
      <formula>16%</formula>
    </cfRule>
  </conditionalFormatting>
  <conditionalFormatting sqref="AG125:AG144">
    <cfRule type="cellIs" dxfId="636" priority="164" operator="greaterThan">
      <formula>50.1%</formula>
    </cfRule>
    <cfRule type="cellIs" dxfId="635" priority="165" operator="between">
      <formula>37.01%</formula>
      <formula>50%</formula>
    </cfRule>
    <cfRule type="cellIs" dxfId="634" priority="166" operator="between">
      <formula>16%</formula>
      <formula>37%</formula>
    </cfRule>
    <cfRule type="cellIs" dxfId="633" priority="167" operator="lessThan">
      <formula>16%</formula>
    </cfRule>
  </conditionalFormatting>
  <conditionalFormatting sqref="AH125:AI144">
    <cfRule type="cellIs" dxfId="632" priority="160" operator="greaterThan">
      <formula>50.1%</formula>
    </cfRule>
    <cfRule type="cellIs" dxfId="631" priority="161" operator="between">
      <formula>37.01%</formula>
      <formula>50%</formula>
    </cfRule>
    <cfRule type="cellIs" dxfId="630" priority="162" operator="between">
      <formula>16%</formula>
      <formula>37%</formula>
    </cfRule>
    <cfRule type="cellIs" dxfId="629" priority="163" operator="lessThan">
      <formula>16%</formula>
    </cfRule>
  </conditionalFormatting>
  <conditionalFormatting sqref="U9">
    <cfRule type="cellIs" dxfId="628" priority="144" operator="greaterThan">
      <formula>24%</formula>
    </cfRule>
    <cfRule type="cellIs" dxfId="627" priority="145" operator="between">
      <formula>19.1%</formula>
      <formula>24%</formula>
    </cfRule>
    <cfRule type="cellIs" dxfId="626" priority="146" operator="between">
      <formula>9%</formula>
      <formula>19%</formula>
    </cfRule>
    <cfRule type="cellIs" dxfId="625" priority="147" operator="lessThan">
      <formula>9%</formula>
    </cfRule>
  </conditionalFormatting>
  <conditionalFormatting sqref="S9:T9">
    <cfRule type="cellIs" dxfId="624" priority="140" operator="greaterThan">
      <formula>24%</formula>
    </cfRule>
    <cfRule type="cellIs" dxfId="623" priority="141" operator="between">
      <formula>19.1%</formula>
      <formula>24%</formula>
    </cfRule>
    <cfRule type="cellIs" dxfId="622" priority="142" operator="between">
      <formula>9%</formula>
      <formula>19%</formula>
    </cfRule>
    <cfRule type="cellIs" dxfId="621" priority="143" operator="lessThan">
      <formula>9%</formula>
    </cfRule>
  </conditionalFormatting>
  <conditionalFormatting sqref="U10:U30">
    <cfRule type="cellIs" dxfId="620" priority="136" operator="greaterThan">
      <formula>24%</formula>
    </cfRule>
    <cfRule type="cellIs" dxfId="619" priority="137" operator="between">
      <formula>19.1%</formula>
      <formula>24%</formula>
    </cfRule>
    <cfRule type="cellIs" dxfId="618" priority="138" operator="between">
      <formula>9%</formula>
      <formula>19%</formula>
    </cfRule>
    <cfRule type="cellIs" dxfId="617" priority="139" operator="lessThan">
      <formula>9%</formula>
    </cfRule>
  </conditionalFormatting>
  <conditionalFormatting sqref="S10:T30">
    <cfRule type="cellIs" dxfId="616" priority="132" operator="greaterThan">
      <formula>24%</formula>
    </cfRule>
    <cfRule type="cellIs" dxfId="615" priority="133" operator="between">
      <formula>19.1%</formula>
      <formula>24%</formula>
    </cfRule>
    <cfRule type="cellIs" dxfId="614" priority="134" operator="between">
      <formula>9%</formula>
      <formula>19%</formula>
    </cfRule>
    <cfRule type="cellIs" dxfId="613" priority="135" operator="lessThan">
      <formula>9%</formula>
    </cfRule>
  </conditionalFormatting>
  <conditionalFormatting sqref="U32">
    <cfRule type="cellIs" dxfId="612" priority="128" operator="greaterThan">
      <formula>24%</formula>
    </cfRule>
    <cfRule type="cellIs" dxfId="611" priority="129" operator="between">
      <formula>19.1%</formula>
      <formula>24%</formula>
    </cfRule>
    <cfRule type="cellIs" dxfId="610" priority="130" operator="between">
      <formula>9%</formula>
      <formula>19%</formula>
    </cfRule>
    <cfRule type="cellIs" dxfId="609" priority="131" operator="lessThan">
      <formula>9%</formula>
    </cfRule>
  </conditionalFormatting>
  <conditionalFormatting sqref="S32:T32">
    <cfRule type="cellIs" dxfId="608" priority="124" operator="greaterThan">
      <formula>24%</formula>
    </cfRule>
    <cfRule type="cellIs" dxfId="607" priority="125" operator="between">
      <formula>19.1%</formula>
      <formula>24%</formula>
    </cfRule>
    <cfRule type="cellIs" dxfId="606" priority="126" operator="between">
      <formula>9%</formula>
      <formula>19%</formula>
    </cfRule>
    <cfRule type="cellIs" dxfId="605" priority="127" operator="lessThan">
      <formula>9%</formula>
    </cfRule>
  </conditionalFormatting>
  <conditionalFormatting sqref="U33:U68">
    <cfRule type="cellIs" dxfId="604" priority="120" operator="greaterThan">
      <formula>24%</formula>
    </cfRule>
    <cfRule type="cellIs" dxfId="603" priority="121" operator="between">
      <formula>19.1%</formula>
      <formula>24%</formula>
    </cfRule>
    <cfRule type="cellIs" dxfId="602" priority="122" operator="between">
      <formula>9%</formula>
      <formula>19%</formula>
    </cfRule>
    <cfRule type="cellIs" dxfId="601" priority="123" operator="lessThan">
      <formula>9%</formula>
    </cfRule>
  </conditionalFormatting>
  <conditionalFormatting sqref="S33:T68">
    <cfRule type="cellIs" dxfId="600" priority="116" operator="greaterThan">
      <formula>24%</formula>
    </cfRule>
    <cfRule type="cellIs" dxfId="599" priority="117" operator="between">
      <formula>19.1%</formula>
      <formula>24%</formula>
    </cfRule>
    <cfRule type="cellIs" dxfId="598" priority="118" operator="between">
      <formula>9%</formula>
      <formula>19%</formula>
    </cfRule>
    <cfRule type="cellIs" dxfId="597" priority="119" operator="lessThan">
      <formula>9%</formula>
    </cfRule>
  </conditionalFormatting>
  <conditionalFormatting sqref="U70:U100">
    <cfRule type="cellIs" dxfId="596" priority="112" operator="greaterThan">
      <formula>24%</formula>
    </cfRule>
    <cfRule type="cellIs" dxfId="595" priority="113" operator="between">
      <formula>19.1%</formula>
      <formula>24%</formula>
    </cfRule>
    <cfRule type="cellIs" dxfId="594" priority="114" operator="between">
      <formula>9%</formula>
      <formula>19%</formula>
    </cfRule>
    <cfRule type="cellIs" dxfId="593" priority="115" operator="lessThan">
      <formula>9%</formula>
    </cfRule>
  </conditionalFormatting>
  <conditionalFormatting sqref="S70:T100">
    <cfRule type="cellIs" dxfId="592" priority="108" operator="greaterThan">
      <formula>24%</formula>
    </cfRule>
    <cfRule type="cellIs" dxfId="591" priority="109" operator="between">
      <formula>19.1%</formula>
      <formula>24%</formula>
    </cfRule>
    <cfRule type="cellIs" dxfId="590" priority="110" operator="between">
      <formula>9%</formula>
      <formula>19%</formula>
    </cfRule>
    <cfRule type="cellIs" dxfId="589" priority="111" operator="lessThan">
      <formula>9%</formula>
    </cfRule>
  </conditionalFormatting>
  <conditionalFormatting sqref="U102:U123">
    <cfRule type="cellIs" dxfId="588" priority="104" operator="greaterThan">
      <formula>24%</formula>
    </cfRule>
    <cfRule type="cellIs" dxfId="587" priority="105" operator="between">
      <formula>19.1%</formula>
      <formula>24%</formula>
    </cfRule>
    <cfRule type="cellIs" dxfId="586" priority="106" operator="between">
      <formula>9%</formula>
      <formula>19%</formula>
    </cfRule>
    <cfRule type="cellIs" dxfId="585" priority="107" operator="lessThan">
      <formula>9%</formula>
    </cfRule>
  </conditionalFormatting>
  <conditionalFormatting sqref="S102:T123">
    <cfRule type="cellIs" dxfId="584" priority="100" operator="greaterThan">
      <formula>24%</formula>
    </cfRule>
    <cfRule type="cellIs" dxfId="583" priority="101" operator="between">
      <formula>19.1%</formula>
      <formula>24%</formula>
    </cfRule>
    <cfRule type="cellIs" dxfId="582" priority="102" operator="between">
      <formula>9%</formula>
      <formula>19%</formula>
    </cfRule>
    <cfRule type="cellIs" dxfId="581" priority="103" operator="lessThan">
      <formula>9%</formula>
    </cfRule>
  </conditionalFormatting>
  <conditionalFormatting sqref="S125:U144">
    <cfRule type="cellIs" dxfId="580" priority="92" operator="greaterThan">
      <formula>24%</formula>
    </cfRule>
    <cfRule type="cellIs" dxfId="579" priority="93" operator="between">
      <formula>19.1%</formula>
      <formula>24%</formula>
    </cfRule>
    <cfRule type="cellIs" dxfId="578" priority="94" operator="between">
      <formula>9%</formula>
      <formula>19%</formula>
    </cfRule>
    <cfRule type="cellIs" dxfId="577" priority="95" operator="lessThan">
      <formula>9%</formula>
    </cfRule>
  </conditionalFormatting>
  <conditionalFormatting sqref="AU9:AW30">
    <cfRule type="cellIs" dxfId="576" priority="21" operator="equal">
      <formula>0</formula>
    </cfRule>
  </conditionalFormatting>
  <conditionalFormatting sqref="AU9:AW30">
    <cfRule type="cellIs" dxfId="575" priority="22" operator="greaterThan">
      <formula>74.1%</formula>
    </cfRule>
    <cfRule type="cellIs" dxfId="574" priority="23" operator="between">
      <formula>56.1%</formula>
      <formula>74%</formula>
    </cfRule>
    <cfRule type="cellIs" dxfId="573" priority="24" operator="between">
      <formula>25.1%</formula>
      <formula>56%</formula>
    </cfRule>
    <cfRule type="cellIs" dxfId="572" priority="25" operator="lessThanOrEqual">
      <formula>25%</formula>
    </cfRule>
  </conditionalFormatting>
  <conditionalFormatting sqref="AU32:AW68">
    <cfRule type="cellIs" dxfId="571" priority="17" operator="greaterThan">
      <formula>74.1%</formula>
    </cfRule>
    <cfRule type="cellIs" dxfId="570" priority="18" operator="between">
      <formula>56.1%</formula>
      <formula>74%</formula>
    </cfRule>
    <cfRule type="cellIs" dxfId="569" priority="19" operator="between">
      <formula>25.1%</formula>
      <formula>56%</formula>
    </cfRule>
    <cfRule type="cellIs" dxfId="568" priority="20" operator="lessThanOrEqual">
      <formula>25%</formula>
    </cfRule>
  </conditionalFormatting>
  <conditionalFormatting sqref="AU32:AW68">
    <cfRule type="cellIs" dxfId="567" priority="16" operator="equal">
      <formula>0</formula>
    </cfRule>
  </conditionalFormatting>
  <conditionalFormatting sqref="AU70:AW100">
    <cfRule type="cellIs" dxfId="566" priority="12" operator="greaterThan">
      <formula>74.1%</formula>
    </cfRule>
    <cfRule type="cellIs" dxfId="565" priority="13" operator="between">
      <formula>56.1%</formula>
      <formula>74%</formula>
    </cfRule>
    <cfRule type="cellIs" dxfId="564" priority="14" operator="between">
      <formula>25.1%</formula>
      <formula>56%</formula>
    </cfRule>
    <cfRule type="cellIs" dxfId="563" priority="15" operator="lessThanOrEqual">
      <formula>25%</formula>
    </cfRule>
  </conditionalFormatting>
  <conditionalFormatting sqref="AU70:AW100">
    <cfRule type="cellIs" dxfId="562" priority="11" operator="equal">
      <formula>0</formula>
    </cfRule>
  </conditionalFormatting>
  <conditionalFormatting sqref="AU102:AW123">
    <cfRule type="cellIs" dxfId="561" priority="7" operator="greaterThan">
      <formula>74.1%</formula>
    </cfRule>
    <cfRule type="cellIs" dxfId="560" priority="8" operator="between">
      <formula>56.1%</formula>
      <formula>74%</formula>
    </cfRule>
    <cfRule type="cellIs" dxfId="559" priority="9" operator="between">
      <formula>25.1%</formula>
      <formula>56%</formula>
    </cfRule>
    <cfRule type="cellIs" dxfId="558" priority="10" operator="lessThanOrEqual">
      <formula>25%</formula>
    </cfRule>
  </conditionalFormatting>
  <conditionalFormatting sqref="AU102:AW123">
    <cfRule type="cellIs" dxfId="557" priority="6" operator="equal">
      <formula>0</formula>
    </cfRule>
  </conditionalFormatting>
  <conditionalFormatting sqref="AU125:AW144">
    <cfRule type="cellIs" dxfId="556" priority="2" operator="greaterThan">
      <formula>74.1%</formula>
    </cfRule>
    <cfRule type="cellIs" dxfId="555" priority="3" operator="between">
      <formula>56.1%</formula>
      <formula>74%</formula>
    </cfRule>
    <cfRule type="cellIs" dxfId="554" priority="4" operator="between">
      <formula>25.1%</formula>
      <formula>56%</formula>
    </cfRule>
    <cfRule type="cellIs" dxfId="553" priority="5" operator="lessThanOrEqual">
      <formula>25%</formula>
    </cfRule>
  </conditionalFormatting>
  <conditionalFormatting sqref="AU125:AW144">
    <cfRule type="cellIs" dxfId="552" priority="1" operator="equal">
      <formula>0</formula>
    </cfRule>
  </conditionalFormatting>
  <printOptions horizontalCentered="1" verticalCentered="1"/>
  <pageMargins left="0.45" right="0.27559055118110237" top="0.6" bottom="0.3" header="0.59055118110236227" footer="0.27559055118110237"/>
  <pageSetup scale="60" orientation="landscape" r:id="rId1"/>
  <rowBreaks count="1" manualBreakCount="1">
    <brk id="37" max="16383"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7"/>
  <sheetViews>
    <sheetView topLeftCell="K52" workbookViewId="0">
      <selection activeCell="I54" sqref="I54"/>
    </sheetView>
  </sheetViews>
  <sheetFormatPr baseColWidth="10" defaultRowHeight="15" x14ac:dyDescent="0.25"/>
  <cols>
    <col min="1" max="2" width="14.28515625" customWidth="1"/>
    <col min="3" max="3" width="13.42578125" customWidth="1"/>
    <col min="4" max="6" width="14.5703125" customWidth="1"/>
    <col min="7" max="7" width="3.140625" customWidth="1"/>
    <col min="8" max="8" width="25" bestFit="1" customWidth="1"/>
    <col min="9" max="9" width="15.28515625" customWidth="1"/>
    <col min="10" max="10" width="13.7109375" bestFit="1" customWidth="1"/>
    <col min="11" max="11" width="13.42578125" customWidth="1"/>
    <col min="12" max="12" width="11.42578125" customWidth="1"/>
    <col min="16" max="16" width="3" customWidth="1"/>
    <col min="18" max="18" width="15.7109375" customWidth="1"/>
    <col min="20" max="20" width="14.28515625" customWidth="1"/>
  </cols>
  <sheetData>
    <row r="1" spans="1:24" x14ac:dyDescent="0.25">
      <c r="A1" s="631" t="s">
        <v>756</v>
      </c>
      <c r="B1" s="631"/>
      <c r="C1" s="631"/>
      <c r="D1" s="631"/>
      <c r="E1" s="241"/>
      <c r="F1" s="241"/>
      <c r="G1" s="241"/>
      <c r="H1" s="631" t="s">
        <v>836</v>
      </c>
      <c r="I1" s="631"/>
      <c r="J1" s="631"/>
      <c r="K1" s="631"/>
      <c r="Q1" s="631" t="s">
        <v>842</v>
      </c>
      <c r="R1" s="631"/>
      <c r="S1" s="631"/>
      <c r="T1" s="631"/>
    </row>
    <row r="2" spans="1:24" x14ac:dyDescent="0.25">
      <c r="A2" s="231" t="s">
        <v>750</v>
      </c>
      <c r="B2" s="231" t="s">
        <v>751</v>
      </c>
      <c r="C2" s="231" t="s">
        <v>752</v>
      </c>
      <c r="D2" s="231" t="s">
        <v>753</v>
      </c>
      <c r="E2" s="276" t="s">
        <v>750</v>
      </c>
      <c r="F2" s="291" t="s">
        <v>5</v>
      </c>
      <c r="G2" s="242"/>
      <c r="H2" s="250" t="s">
        <v>750</v>
      </c>
      <c r="I2" s="250" t="s">
        <v>751</v>
      </c>
      <c r="J2" s="250" t="s">
        <v>752</v>
      </c>
      <c r="K2" s="250" t="s">
        <v>753</v>
      </c>
      <c r="L2" s="276" t="s">
        <v>750</v>
      </c>
      <c r="M2" s="291" t="s">
        <v>5</v>
      </c>
      <c r="N2" s="291" t="s">
        <v>6</v>
      </c>
      <c r="O2" s="291" t="s">
        <v>7</v>
      </c>
      <c r="Q2" s="355" t="s">
        <v>750</v>
      </c>
      <c r="R2" s="355" t="s">
        <v>751</v>
      </c>
      <c r="S2" s="355" t="s">
        <v>752</v>
      </c>
      <c r="T2" s="355" t="s">
        <v>753</v>
      </c>
      <c r="U2" s="355" t="s">
        <v>750</v>
      </c>
      <c r="V2" s="291" t="s">
        <v>5</v>
      </c>
      <c r="W2" s="291" t="s">
        <v>6</v>
      </c>
      <c r="X2" s="291" t="s">
        <v>7</v>
      </c>
    </row>
    <row r="3" spans="1:24" x14ac:dyDescent="0.25">
      <c r="A3" s="7" t="s">
        <v>743</v>
      </c>
      <c r="B3" s="240">
        <f>SUM(Asignación!K3:K5)</f>
        <v>127448597</v>
      </c>
      <c r="C3" s="240" t="e">
        <f>SUM(SEGUIMIENTO!J9:J11)</f>
        <v>#REF!</v>
      </c>
      <c r="D3" s="240" t="e">
        <f>B3-C3</f>
        <v>#REF!</v>
      </c>
      <c r="E3" s="7" t="s">
        <v>743</v>
      </c>
      <c r="F3" s="275" t="e">
        <f>C3/B3</f>
        <v>#REF!</v>
      </c>
      <c r="G3" s="243"/>
      <c r="H3" s="7" t="s">
        <v>743</v>
      </c>
      <c r="I3" s="240" t="e">
        <f>SUM(SEGUIMIENTO!W9:W11)</f>
        <v>#REF!</v>
      </c>
      <c r="J3" s="240" t="e">
        <f>SUM(SEGUIMIENTO!X9:X11)</f>
        <v>#REF!</v>
      </c>
      <c r="K3" s="240" t="e">
        <f>I3-J3</f>
        <v>#REF!</v>
      </c>
      <c r="L3" s="7" t="s">
        <v>743</v>
      </c>
      <c r="M3" s="275" t="e">
        <f>J3/I3</f>
        <v>#REF!</v>
      </c>
      <c r="N3" s="287" t="e">
        <f>FORMACIÓN!B32</f>
        <v>#DIV/0!</v>
      </c>
      <c r="O3" s="287" t="e">
        <f>(M3+N3)/2</f>
        <v>#REF!</v>
      </c>
      <c r="Q3" s="7" t="s">
        <v>743</v>
      </c>
      <c r="R3" s="240" t="e">
        <f>SUM(SEGUIMIENTO!AK9:AK11)</f>
        <v>#REF!</v>
      </c>
      <c r="S3" s="240" t="e">
        <f>SUM(SEGUIMIENTO!AL9:AL11)</f>
        <v>#REF!</v>
      </c>
      <c r="T3" s="240" t="e">
        <f>R3-S3</f>
        <v>#REF!</v>
      </c>
      <c r="U3" s="7" t="s">
        <v>743</v>
      </c>
      <c r="V3" s="363" t="e">
        <f>S3/R3</f>
        <v>#REF!</v>
      </c>
      <c r="W3" s="363" t="e">
        <f>FORMACIÓN!B93</f>
        <v>#DIV/0!</v>
      </c>
      <c r="X3" s="363" t="e">
        <f>(V3+W3)/2</f>
        <v>#REF!</v>
      </c>
    </row>
    <row r="4" spans="1:24" x14ac:dyDescent="0.25">
      <c r="A4" s="7" t="s">
        <v>744</v>
      </c>
      <c r="B4" s="240">
        <f>SUM(Asignación!K6)</f>
        <v>36000000</v>
      </c>
      <c r="C4" s="240" t="e">
        <f>SUM(SEGUIMIENTO!J12)</f>
        <v>#REF!</v>
      </c>
      <c r="D4" s="240" t="e">
        <f t="shared" ref="D4:D10" si="0">B4-C4</f>
        <v>#REF!</v>
      </c>
      <c r="E4" s="7" t="s">
        <v>744</v>
      </c>
      <c r="F4" s="275" t="e">
        <f t="shared" ref="F4:F9" si="1">C4/B4</f>
        <v>#REF!</v>
      </c>
      <c r="G4" s="243"/>
      <c r="H4" s="7" t="s">
        <v>744</v>
      </c>
      <c r="I4" s="240" t="e">
        <f>SUM(SEGUIMIENTO!W12)</f>
        <v>#REF!</v>
      </c>
      <c r="J4" s="240" t="e">
        <f>SUM(SEGUIMIENTO!X12)</f>
        <v>#REF!</v>
      </c>
      <c r="K4" s="240" t="e">
        <f t="shared" ref="K4:K10" si="2">I4-J4</f>
        <v>#REF!</v>
      </c>
      <c r="L4" s="7" t="s">
        <v>744</v>
      </c>
      <c r="M4" s="275" t="e">
        <f t="shared" ref="M4:M9" si="3">J4/I4</f>
        <v>#REF!</v>
      </c>
      <c r="N4" s="287" t="e">
        <f>FORMACIÓN!B33</f>
        <v>#DIV/0!</v>
      </c>
      <c r="O4" s="287" t="e">
        <f t="shared" ref="O4:O9" si="4">(M4+N4)/2</f>
        <v>#REF!</v>
      </c>
      <c r="Q4" s="7" t="s">
        <v>744</v>
      </c>
      <c r="R4" s="240" t="e">
        <f>SUM(SEGUIMIENTO!AK12)</f>
        <v>#REF!</v>
      </c>
      <c r="S4" s="240" t="e">
        <f>SUM(SEGUIMIENTO!AL12)</f>
        <v>#REF!</v>
      </c>
      <c r="T4" s="240" t="e">
        <f t="shared" ref="T4:T10" si="5">R4-S4</f>
        <v>#REF!</v>
      </c>
      <c r="U4" s="7" t="s">
        <v>744</v>
      </c>
      <c r="V4" s="363" t="e">
        <f t="shared" ref="V4:V9" si="6">S4/R4</f>
        <v>#REF!</v>
      </c>
      <c r="W4" s="363" t="e">
        <f>FORMACIÓN!B94</f>
        <v>#DIV/0!</v>
      </c>
      <c r="X4" s="363" t="e">
        <f t="shared" ref="X4:X9" si="7">(V4+W4)/2</f>
        <v>#REF!</v>
      </c>
    </row>
    <row r="5" spans="1:24" x14ac:dyDescent="0.25">
      <c r="A5" s="7" t="s">
        <v>745</v>
      </c>
      <c r="B5" s="240">
        <f>SUM(Asignación!K7:K11)</f>
        <v>590530623</v>
      </c>
      <c r="C5" s="240" t="e">
        <f>SUM(SEGUIMIENTO!J13:J17)</f>
        <v>#REF!</v>
      </c>
      <c r="D5" s="240" t="e">
        <f t="shared" si="0"/>
        <v>#REF!</v>
      </c>
      <c r="E5" s="7" t="s">
        <v>745</v>
      </c>
      <c r="F5" s="275" t="e">
        <f t="shared" si="1"/>
        <v>#REF!</v>
      </c>
      <c r="G5" s="243"/>
      <c r="H5" s="7" t="s">
        <v>745</v>
      </c>
      <c r="I5" s="240" t="e">
        <f>SUM(SEGUIMIENTO!W13:W17)</f>
        <v>#REF!</v>
      </c>
      <c r="J5" s="240" t="e">
        <f>SUM(SEGUIMIENTO!X13:X17)</f>
        <v>#REF!</v>
      </c>
      <c r="K5" s="240" t="e">
        <f t="shared" si="2"/>
        <v>#REF!</v>
      </c>
      <c r="L5" s="7" t="s">
        <v>745</v>
      </c>
      <c r="M5" s="275" t="e">
        <f t="shared" si="3"/>
        <v>#REF!</v>
      </c>
      <c r="N5" s="287" t="e">
        <f>FORMACIÓN!B34</f>
        <v>#DIV/0!</v>
      </c>
      <c r="O5" s="287" t="e">
        <f t="shared" si="4"/>
        <v>#REF!</v>
      </c>
      <c r="Q5" s="7" t="s">
        <v>745</v>
      </c>
      <c r="R5" s="240" t="e">
        <f>SUM(SEGUIMIENTO!AK13:AK17)</f>
        <v>#REF!</v>
      </c>
      <c r="S5" s="240" t="e">
        <f>SUM(SEGUIMIENTO!AL13:AL17)</f>
        <v>#REF!</v>
      </c>
      <c r="T5" s="240" t="e">
        <f t="shared" si="5"/>
        <v>#REF!</v>
      </c>
      <c r="U5" s="7" t="s">
        <v>745</v>
      </c>
      <c r="V5" s="363" t="e">
        <f t="shared" si="6"/>
        <v>#REF!</v>
      </c>
      <c r="W5" s="363" t="e">
        <f>FORMACIÓN!B95</f>
        <v>#DIV/0!</v>
      </c>
      <c r="X5" s="363" t="e">
        <f t="shared" si="7"/>
        <v>#REF!</v>
      </c>
    </row>
    <row r="6" spans="1:24" x14ac:dyDescent="0.25">
      <c r="A6" s="7" t="s">
        <v>746</v>
      </c>
      <c r="B6" s="240">
        <f>SUM(Asignación!K12:K16)</f>
        <v>673338920</v>
      </c>
      <c r="C6" s="240" t="e">
        <f>SUM(SEGUIMIENTO!J18:J22)</f>
        <v>#REF!</v>
      </c>
      <c r="D6" s="240" t="e">
        <f t="shared" si="0"/>
        <v>#REF!</v>
      </c>
      <c r="E6" s="7" t="s">
        <v>746</v>
      </c>
      <c r="F6" s="275" t="e">
        <f t="shared" si="1"/>
        <v>#REF!</v>
      </c>
      <c r="G6" s="243"/>
      <c r="H6" s="7" t="s">
        <v>746</v>
      </c>
      <c r="I6" s="240" t="e">
        <f>SUM(SEGUIMIENTO!W18:W22)</f>
        <v>#REF!</v>
      </c>
      <c r="J6" s="240" t="e">
        <f>SUM(SEGUIMIENTO!X18:X22)</f>
        <v>#REF!</v>
      </c>
      <c r="K6" s="240" t="e">
        <f t="shared" si="2"/>
        <v>#REF!</v>
      </c>
      <c r="L6" s="7" t="s">
        <v>746</v>
      </c>
      <c r="M6" s="275" t="e">
        <f t="shared" si="3"/>
        <v>#REF!</v>
      </c>
      <c r="N6" s="287" t="e">
        <f>FORMACIÓN!B35</f>
        <v>#DIV/0!</v>
      </c>
      <c r="O6" s="287" t="e">
        <f t="shared" si="4"/>
        <v>#REF!</v>
      </c>
      <c r="Q6" s="7" t="s">
        <v>746</v>
      </c>
      <c r="R6" s="240" t="e">
        <f>SUM(SEGUIMIENTO!AK18:AK22)</f>
        <v>#REF!</v>
      </c>
      <c r="S6" s="240" t="e">
        <f>SUM(SEGUIMIENTO!AL18:AL22)</f>
        <v>#REF!</v>
      </c>
      <c r="T6" s="240" t="e">
        <f t="shared" si="5"/>
        <v>#REF!</v>
      </c>
      <c r="U6" s="7" t="s">
        <v>746</v>
      </c>
      <c r="V6" s="363" t="e">
        <f t="shared" si="6"/>
        <v>#REF!</v>
      </c>
      <c r="W6" s="363" t="e">
        <f>FORMACIÓN!B96</f>
        <v>#DIV/0!</v>
      </c>
      <c r="X6" s="363" t="e">
        <f t="shared" si="7"/>
        <v>#REF!</v>
      </c>
    </row>
    <row r="7" spans="1:24" x14ac:dyDescent="0.25">
      <c r="A7" s="7" t="s">
        <v>747</v>
      </c>
      <c r="B7" s="240">
        <f>SUM(Asignación!K17:K19)</f>
        <v>197440391</v>
      </c>
      <c r="C7" s="240" t="e">
        <f>SUM(SEGUIMIENTO!J23:J25)</f>
        <v>#REF!</v>
      </c>
      <c r="D7" s="240" t="e">
        <f t="shared" si="0"/>
        <v>#REF!</v>
      </c>
      <c r="E7" s="7" t="s">
        <v>747</v>
      </c>
      <c r="F7" s="275" t="e">
        <f t="shared" si="1"/>
        <v>#REF!</v>
      </c>
      <c r="G7" s="243"/>
      <c r="H7" s="7" t="s">
        <v>747</v>
      </c>
      <c r="I7" s="240" t="e">
        <f>SUM(SEGUIMIENTO!W23:W25)</f>
        <v>#REF!</v>
      </c>
      <c r="J7" s="240" t="e">
        <f>SUM(SEGUIMIENTO!X23:X25)</f>
        <v>#REF!</v>
      </c>
      <c r="K7" s="240" t="e">
        <f t="shared" si="2"/>
        <v>#REF!</v>
      </c>
      <c r="L7" s="7" t="s">
        <v>747</v>
      </c>
      <c r="M7" s="275" t="e">
        <f t="shared" si="3"/>
        <v>#REF!</v>
      </c>
      <c r="N7" s="287" t="e">
        <f>FORMACIÓN!B36</f>
        <v>#DIV/0!</v>
      </c>
      <c r="O7" s="287" t="e">
        <f t="shared" si="4"/>
        <v>#REF!</v>
      </c>
      <c r="Q7" s="7" t="s">
        <v>747</v>
      </c>
      <c r="R7" s="240" t="e">
        <f>SUM(SEGUIMIENTO!AK23:AK25)</f>
        <v>#REF!</v>
      </c>
      <c r="S7" s="240" t="e">
        <f>SUM(SEGUIMIENTO!AL23:AL25)</f>
        <v>#REF!</v>
      </c>
      <c r="T7" s="240" t="e">
        <f t="shared" si="5"/>
        <v>#REF!</v>
      </c>
      <c r="U7" s="7" t="s">
        <v>747</v>
      </c>
      <c r="V7" s="363" t="e">
        <f t="shared" si="6"/>
        <v>#REF!</v>
      </c>
      <c r="W7" s="363" t="e">
        <f>FORMACIÓN!B97</f>
        <v>#DIV/0!</v>
      </c>
      <c r="X7" s="363" t="e">
        <f t="shared" si="7"/>
        <v>#REF!</v>
      </c>
    </row>
    <row r="8" spans="1:24" x14ac:dyDescent="0.25">
      <c r="A8" s="7" t="s">
        <v>748</v>
      </c>
      <c r="B8" s="240">
        <f>SUM(Asignación!K20)</f>
        <v>0</v>
      </c>
      <c r="C8" s="240" t="e">
        <f>SUM(SEGUIMIENTO!J26:J26)</f>
        <v>#REF!</v>
      </c>
      <c r="D8" s="240" t="e">
        <f t="shared" si="0"/>
        <v>#REF!</v>
      </c>
      <c r="E8" s="7" t="s">
        <v>748</v>
      </c>
      <c r="F8" s="275"/>
      <c r="G8" s="243"/>
      <c r="H8" s="7" t="s">
        <v>748</v>
      </c>
      <c r="I8" s="240" t="e">
        <f>SUM(SEGUIMIENTO!W26:W27)</f>
        <v>#REF!</v>
      </c>
      <c r="J8" s="240" t="e">
        <f>SUM(SEGUIMIENTO!X26:X27)</f>
        <v>#REF!</v>
      </c>
      <c r="K8" s="240" t="e">
        <f t="shared" si="2"/>
        <v>#REF!</v>
      </c>
      <c r="L8" s="7" t="s">
        <v>748</v>
      </c>
      <c r="M8" s="275" t="e">
        <f t="shared" si="3"/>
        <v>#REF!</v>
      </c>
      <c r="N8" s="287" t="e">
        <f>FORMACIÓN!B37</f>
        <v>#DIV/0!</v>
      </c>
      <c r="O8" s="287" t="e">
        <f t="shared" si="4"/>
        <v>#REF!</v>
      </c>
      <c r="Q8" s="7" t="s">
        <v>748</v>
      </c>
      <c r="R8" s="240" t="e">
        <f>SUM(SEGUIMIENTO!AK26:AK27)</f>
        <v>#REF!</v>
      </c>
      <c r="S8" s="240" t="e">
        <f>SUM(SEGUIMIENTO!AL26:AL27)</f>
        <v>#REF!</v>
      </c>
      <c r="T8" s="240" t="e">
        <f t="shared" si="5"/>
        <v>#REF!</v>
      </c>
      <c r="U8" s="7" t="s">
        <v>748</v>
      </c>
      <c r="V8" s="363" t="e">
        <f t="shared" si="6"/>
        <v>#REF!</v>
      </c>
      <c r="W8" s="363" t="e">
        <f>FORMACIÓN!B98</f>
        <v>#DIV/0!</v>
      </c>
      <c r="X8" s="363" t="e">
        <f t="shared" si="7"/>
        <v>#REF!</v>
      </c>
    </row>
    <row r="9" spans="1:24" x14ac:dyDescent="0.25">
      <c r="A9" s="7" t="s">
        <v>749</v>
      </c>
      <c r="B9" s="240">
        <f>SUM(Asignación!K22:K24)</f>
        <v>105500000</v>
      </c>
      <c r="C9" s="240" t="e">
        <f>SUM(SEGUIMIENTO!J28:J30)</f>
        <v>#REF!</v>
      </c>
      <c r="D9" s="240" t="e">
        <f t="shared" si="0"/>
        <v>#REF!</v>
      </c>
      <c r="E9" s="7" t="s">
        <v>749</v>
      </c>
      <c r="F9" s="275" t="e">
        <f t="shared" si="1"/>
        <v>#REF!</v>
      </c>
      <c r="G9" s="243"/>
      <c r="H9" s="7" t="s">
        <v>749</v>
      </c>
      <c r="I9" s="240" t="e">
        <f>SUM(SEGUIMIENTO!W28:W30)</f>
        <v>#REF!</v>
      </c>
      <c r="J9" s="240" t="e">
        <f>SUM(SEGUIMIENTO!X28:X30)</f>
        <v>#REF!</v>
      </c>
      <c r="K9" s="240" t="e">
        <f t="shared" si="2"/>
        <v>#REF!</v>
      </c>
      <c r="L9" s="7" t="s">
        <v>749</v>
      </c>
      <c r="M9" s="275" t="e">
        <f t="shared" si="3"/>
        <v>#REF!</v>
      </c>
      <c r="N9" s="287" t="e">
        <f>FORMACIÓN!B38</f>
        <v>#DIV/0!</v>
      </c>
      <c r="O9" s="287" t="e">
        <f t="shared" si="4"/>
        <v>#REF!</v>
      </c>
      <c r="Q9" s="7" t="s">
        <v>749</v>
      </c>
      <c r="R9" s="240" t="e">
        <f>SUM(SEGUIMIENTO!AK28:AK30)</f>
        <v>#REF!</v>
      </c>
      <c r="S9" s="240" t="e">
        <f>SUM(SEGUIMIENTO!AL28:AL30)</f>
        <v>#REF!</v>
      </c>
      <c r="T9" s="240" t="e">
        <f t="shared" si="5"/>
        <v>#REF!</v>
      </c>
      <c r="U9" s="7" t="s">
        <v>749</v>
      </c>
      <c r="V9" s="363" t="e">
        <f t="shared" si="6"/>
        <v>#REF!</v>
      </c>
      <c r="W9" s="363" t="e">
        <f>FORMACIÓN!B99</f>
        <v>#DIV/0!</v>
      </c>
      <c r="X9" s="363" t="e">
        <f t="shared" si="7"/>
        <v>#REF!</v>
      </c>
    </row>
    <row r="10" spans="1:24" x14ac:dyDescent="0.25">
      <c r="A10" s="251" t="s">
        <v>754</v>
      </c>
      <c r="B10" s="252">
        <f>SUM(B3:B9)</f>
        <v>1730258531</v>
      </c>
      <c r="C10" s="252" t="e">
        <f>SUM(C3:C9)</f>
        <v>#REF!</v>
      </c>
      <c r="D10" s="252" t="e">
        <f t="shared" si="0"/>
        <v>#REF!</v>
      </c>
      <c r="E10" s="293" t="s">
        <v>833</v>
      </c>
      <c r="F10" s="275" t="e">
        <f>SUM(F9+F7+F6+F5+F4+F3)/6</f>
        <v>#REF!</v>
      </c>
      <c r="G10" s="244"/>
      <c r="H10" s="302" t="s">
        <v>728</v>
      </c>
      <c r="I10" s="252" t="e">
        <f>SUM(I3:I9)</f>
        <v>#REF!</v>
      </c>
      <c r="J10" s="252" t="e">
        <f>SUM(J3:J9)</f>
        <v>#REF!</v>
      </c>
      <c r="K10" s="252" t="e">
        <f t="shared" si="2"/>
        <v>#REF!</v>
      </c>
      <c r="L10" s="293" t="s">
        <v>833</v>
      </c>
      <c r="M10" s="275" t="e">
        <f>AVERAGE(M3:M9)</f>
        <v>#REF!</v>
      </c>
      <c r="N10" s="287" t="e">
        <f t="shared" ref="N10:O10" si="8">AVERAGE(N3:N9)</f>
        <v>#DIV/0!</v>
      </c>
      <c r="O10" s="287" t="e">
        <f t="shared" si="8"/>
        <v>#REF!</v>
      </c>
      <c r="Q10" s="355" t="s">
        <v>728</v>
      </c>
      <c r="R10" s="252" t="e">
        <f>SUM(R3:R9)</f>
        <v>#REF!</v>
      </c>
      <c r="S10" s="252" t="e">
        <f>SUM(S3:S9)</f>
        <v>#REF!</v>
      </c>
      <c r="T10" s="252" t="e">
        <f t="shared" si="5"/>
        <v>#REF!</v>
      </c>
      <c r="U10" s="293" t="s">
        <v>833</v>
      </c>
      <c r="V10" s="367" t="e">
        <f>AVERAGE(V3:V9)</f>
        <v>#REF!</v>
      </c>
      <c r="W10" s="367" t="e">
        <f t="shared" ref="W10:X10" si="9">AVERAGE(W3:W9)</f>
        <v>#DIV/0!</v>
      </c>
      <c r="X10" s="367" t="e">
        <f t="shared" si="9"/>
        <v>#REF!</v>
      </c>
    </row>
    <row r="11" spans="1:24" x14ac:dyDescent="0.25">
      <c r="B11" s="67"/>
      <c r="C11" s="67"/>
      <c r="D11" s="67"/>
    </row>
    <row r="12" spans="1:24" ht="15.75" thickBot="1" x14ac:dyDescent="0.3">
      <c r="A12" s="631" t="s">
        <v>755</v>
      </c>
      <c r="B12" s="631"/>
      <c r="C12" s="631"/>
      <c r="D12" s="631"/>
      <c r="H12" s="632" t="s">
        <v>801</v>
      </c>
      <c r="I12" s="632"/>
      <c r="J12" s="632"/>
      <c r="K12" s="632"/>
      <c r="Q12" s="632" t="s">
        <v>843</v>
      </c>
      <c r="R12" s="632"/>
      <c r="S12" s="632"/>
      <c r="T12" s="632"/>
    </row>
    <row r="13" spans="1:24" x14ac:dyDescent="0.25">
      <c r="A13" s="231" t="s">
        <v>750</v>
      </c>
      <c r="B13" s="231" t="s">
        <v>751</v>
      </c>
      <c r="C13" s="231" t="s">
        <v>752</v>
      </c>
      <c r="D13" s="231" t="s">
        <v>753</v>
      </c>
      <c r="E13" s="276" t="s">
        <v>750</v>
      </c>
      <c r="F13" s="291" t="s">
        <v>5</v>
      </c>
      <c r="H13" s="313" t="s">
        <v>10</v>
      </c>
      <c r="I13" s="314" t="s">
        <v>751</v>
      </c>
      <c r="J13" s="314" t="s">
        <v>752</v>
      </c>
      <c r="K13" s="314" t="s">
        <v>753</v>
      </c>
      <c r="L13" s="314" t="s">
        <v>750</v>
      </c>
      <c r="M13" s="314" t="s">
        <v>5</v>
      </c>
      <c r="N13" s="314" t="s">
        <v>6</v>
      </c>
      <c r="O13" s="315" t="s">
        <v>7</v>
      </c>
      <c r="Q13" s="313" t="s">
        <v>10</v>
      </c>
      <c r="R13" s="314" t="s">
        <v>751</v>
      </c>
      <c r="S13" s="314" t="s">
        <v>752</v>
      </c>
      <c r="T13" s="314" t="s">
        <v>753</v>
      </c>
      <c r="U13" s="314" t="s">
        <v>750</v>
      </c>
      <c r="V13" s="367" t="s">
        <v>5</v>
      </c>
      <c r="W13" s="367" t="s">
        <v>6</v>
      </c>
      <c r="X13" s="367" t="s">
        <v>7</v>
      </c>
    </row>
    <row r="14" spans="1:24" x14ac:dyDescent="0.25">
      <c r="A14" s="7" t="s">
        <v>757</v>
      </c>
      <c r="B14" s="240">
        <f>SUM(Asignación!K26:K30)</f>
        <v>2373305826</v>
      </c>
      <c r="C14" s="240">
        <f>SUM(SEGUIMIENTO!J32:J36)</f>
        <v>486685099</v>
      </c>
      <c r="D14" s="240">
        <f>B14-C14</f>
        <v>1886620727</v>
      </c>
      <c r="E14" s="7" t="s">
        <v>757</v>
      </c>
      <c r="F14" s="275">
        <f>C14/B14</f>
        <v>0.20506632296111002</v>
      </c>
      <c r="H14" s="316" t="s">
        <v>757</v>
      </c>
      <c r="I14" s="240">
        <f>INVESTIGACIÓN!R8</f>
        <v>2373305826</v>
      </c>
      <c r="J14" s="240">
        <f>INVESTIGACIÓN!S8</f>
        <v>960235478</v>
      </c>
      <c r="K14" s="240">
        <f>I14-J14</f>
        <v>1413070348</v>
      </c>
      <c r="L14" s="7" t="s">
        <v>757</v>
      </c>
      <c r="M14" s="300">
        <f>J14/I14</f>
        <v>0.40459828964326655</v>
      </c>
      <c r="N14" s="300">
        <f>INVESTIGACIÓN!B46</f>
        <v>1</v>
      </c>
      <c r="O14" s="317">
        <f>(M14+N14)/2</f>
        <v>0.70229914482163325</v>
      </c>
      <c r="Q14" s="316" t="s">
        <v>757</v>
      </c>
      <c r="R14" s="240">
        <f>SUM(SEGUIMIENTO!AK32:AK36)</f>
        <v>2373305826</v>
      </c>
      <c r="S14" s="240">
        <f>SUM(SEGUIMIENTO!AL32:AL36)</f>
        <v>2033505881</v>
      </c>
      <c r="T14" s="240">
        <f>R14-S14</f>
        <v>339799945</v>
      </c>
      <c r="U14" s="7" t="s">
        <v>757</v>
      </c>
      <c r="V14" s="367">
        <f>S14/R14</f>
        <v>0.85682420643920842</v>
      </c>
      <c r="W14" s="367">
        <f>INVESTIGACIÓN!B106</f>
        <v>0.4</v>
      </c>
      <c r="X14" s="367">
        <f>(V14+W14)/2</f>
        <v>0.62841210321960417</v>
      </c>
    </row>
    <row r="15" spans="1:24" x14ac:dyDescent="0.25">
      <c r="A15" s="7" t="s">
        <v>758</v>
      </c>
      <c r="B15" s="240">
        <f>SUM(Asignación!K31:K39)</f>
        <v>441907499</v>
      </c>
      <c r="C15" s="240">
        <f>SUM(SEGUIMIENTO!J37:J45)</f>
        <v>86230312</v>
      </c>
      <c r="D15" s="240">
        <f t="shared" ref="D15:D21" si="10">B15-C15</f>
        <v>355677187</v>
      </c>
      <c r="E15" s="7" t="s">
        <v>758</v>
      </c>
      <c r="F15" s="275">
        <f t="shared" ref="F15:F22" si="11">C15/B15</f>
        <v>0.19513204051782793</v>
      </c>
      <c r="H15" s="316" t="s">
        <v>758</v>
      </c>
      <c r="I15" s="240">
        <f>INVESTIGACIÓN!R9</f>
        <v>550946741</v>
      </c>
      <c r="J15" s="240">
        <f>INVESTIGACIÓN!S9</f>
        <v>248994871</v>
      </c>
      <c r="K15" s="240">
        <f t="shared" ref="K15:K20" si="12">I15-J15</f>
        <v>301951870</v>
      </c>
      <c r="L15" s="7" t="s">
        <v>758</v>
      </c>
      <c r="M15" s="300">
        <f t="shared" ref="M15:M22" si="13">J15/I15</f>
        <v>0.45194000158356507</v>
      </c>
      <c r="N15" s="300">
        <f>INVESTIGACIÓN!B47</f>
        <v>0.55555555555555558</v>
      </c>
      <c r="O15" s="317">
        <f t="shared" ref="O15:O22" si="14">(M15+N15)/2</f>
        <v>0.50374777856956032</v>
      </c>
      <c r="Q15" s="316" t="s">
        <v>758</v>
      </c>
      <c r="R15" s="240">
        <f>SUM(SEGUIMIENTO!AK37:AK45)</f>
        <v>550946741</v>
      </c>
      <c r="S15" s="240">
        <f>SUM(SEGUIMIENTO!AL37:AL45)</f>
        <v>420469119</v>
      </c>
      <c r="T15" s="240">
        <f t="shared" ref="T15:T22" si="15">R15-S15</f>
        <v>130477622</v>
      </c>
      <c r="U15" s="7" t="s">
        <v>758</v>
      </c>
      <c r="V15" s="367">
        <f t="shared" ref="V15:V22" si="16">S15/R15</f>
        <v>0.7631756170057824</v>
      </c>
      <c r="W15" s="367">
        <f>INVESTIGACIÓN!B107</f>
        <v>0.44444444444444442</v>
      </c>
      <c r="X15" s="367">
        <f t="shared" ref="X15:X22" si="17">(V15+W15)/2</f>
        <v>0.60381003072511341</v>
      </c>
    </row>
    <row r="16" spans="1:24" x14ac:dyDescent="0.25">
      <c r="A16" s="7" t="s">
        <v>759</v>
      </c>
      <c r="B16" s="240">
        <f>SUM(Asignación!K40:K43)</f>
        <v>190000000</v>
      </c>
      <c r="C16" s="240">
        <f>SUM(SEGUIMIENTO!J46:J49)</f>
        <v>51491660</v>
      </c>
      <c r="D16" s="240">
        <f t="shared" si="10"/>
        <v>138508340</v>
      </c>
      <c r="E16" s="7" t="s">
        <v>759</v>
      </c>
      <c r="F16" s="275">
        <f t="shared" si="11"/>
        <v>0.27100873684210525</v>
      </c>
      <c r="H16" s="316" t="s">
        <v>759</v>
      </c>
      <c r="I16" s="240">
        <f>INVESTIGACIÓN!R10</f>
        <v>224000000</v>
      </c>
      <c r="J16" s="240">
        <f>INVESTIGACIÓN!S10</f>
        <v>108132962</v>
      </c>
      <c r="K16" s="240">
        <f t="shared" si="12"/>
        <v>115867038</v>
      </c>
      <c r="L16" s="7" t="s">
        <v>759</v>
      </c>
      <c r="M16" s="300">
        <f t="shared" si="13"/>
        <v>0.4827364375</v>
      </c>
      <c r="N16" s="300">
        <f>INVESTIGACIÓN!B48</f>
        <v>0.75</v>
      </c>
      <c r="O16" s="317">
        <f t="shared" si="14"/>
        <v>0.61636821875000003</v>
      </c>
      <c r="Q16" s="316" t="s">
        <v>759</v>
      </c>
      <c r="R16" s="240">
        <f>SUM(SEGUIMIENTO!AK46:AK49)</f>
        <v>224000000</v>
      </c>
      <c r="S16" s="240">
        <f>SUM(SEGUIMIENTO!AL46:AL49)</f>
        <v>145358510</v>
      </c>
      <c r="T16" s="240">
        <f t="shared" si="15"/>
        <v>78641490</v>
      </c>
      <c r="U16" s="7" t="s">
        <v>759</v>
      </c>
      <c r="V16" s="367">
        <f t="shared" si="16"/>
        <v>0.64892191964285717</v>
      </c>
      <c r="W16" s="367">
        <f>INVESTIGACIÓN!B108</f>
        <v>0.75</v>
      </c>
      <c r="X16" s="367">
        <f t="shared" si="17"/>
        <v>0.69946095982142853</v>
      </c>
    </row>
    <row r="17" spans="1:24" x14ac:dyDescent="0.25">
      <c r="A17" s="7" t="s">
        <v>760</v>
      </c>
      <c r="B17" s="240">
        <f>SUM(Asignación!K44:K45)</f>
        <v>115000000</v>
      </c>
      <c r="C17" s="240">
        <f>SUM(SEGUIMIENTO!J50:J51)</f>
        <v>10940000</v>
      </c>
      <c r="D17" s="240">
        <f t="shared" si="10"/>
        <v>104060000</v>
      </c>
      <c r="E17" s="7" t="s">
        <v>760</v>
      </c>
      <c r="F17" s="275">
        <f t="shared" si="11"/>
        <v>9.51304347826087E-2</v>
      </c>
      <c r="H17" s="316" t="s">
        <v>760</v>
      </c>
      <c r="I17" s="240">
        <f>INVESTIGACIÓN!R11</f>
        <v>115000000</v>
      </c>
      <c r="J17" s="240">
        <f>INVESTIGACIÓN!S11</f>
        <v>32114277</v>
      </c>
      <c r="K17" s="240">
        <f t="shared" si="12"/>
        <v>82885723</v>
      </c>
      <c r="L17" s="7" t="s">
        <v>760</v>
      </c>
      <c r="M17" s="300">
        <f t="shared" si="13"/>
        <v>0.27925458260869568</v>
      </c>
      <c r="N17" s="300">
        <f>INVESTIGACIÓN!B49</f>
        <v>0.5</v>
      </c>
      <c r="O17" s="317">
        <f t="shared" si="14"/>
        <v>0.38962729130434781</v>
      </c>
      <c r="Q17" s="316" t="s">
        <v>760</v>
      </c>
      <c r="R17" s="240">
        <f>SUM(SEGUIMIENTO!AK50:AK51)</f>
        <v>115000000</v>
      </c>
      <c r="S17" s="240">
        <f>SUM(SEGUIMIENTO!AL50:AL51)</f>
        <v>113788818</v>
      </c>
      <c r="T17" s="240">
        <f t="shared" si="15"/>
        <v>1211182</v>
      </c>
      <c r="U17" s="7" t="s">
        <v>760</v>
      </c>
      <c r="V17" s="367">
        <f t="shared" si="16"/>
        <v>0.98946798260869562</v>
      </c>
      <c r="W17" s="367">
        <f>INVESTIGACIÓN!B109</f>
        <v>0.5</v>
      </c>
      <c r="X17" s="367">
        <f t="shared" si="17"/>
        <v>0.74473399130434781</v>
      </c>
    </row>
    <row r="18" spans="1:24" x14ac:dyDescent="0.25">
      <c r="A18" s="7" t="s">
        <v>761</v>
      </c>
      <c r="B18" s="240">
        <f>SUM(Asignación!K46:K48)</f>
        <v>3239557814</v>
      </c>
      <c r="C18" s="240">
        <f>SUM(SEGUIMIENTO!J52:J53)</f>
        <v>827453390</v>
      </c>
      <c r="D18" s="240">
        <f t="shared" si="10"/>
        <v>2412104424</v>
      </c>
      <c r="E18" s="7" t="s">
        <v>761</v>
      </c>
      <c r="F18" s="275">
        <f t="shared" si="11"/>
        <v>0.25542170799486774</v>
      </c>
      <c r="H18" s="316" t="s">
        <v>761</v>
      </c>
      <c r="I18" s="240">
        <f>INVESTIGACIÓN!R12</f>
        <v>3409557814</v>
      </c>
      <c r="J18" s="240">
        <f>INVESTIGACIÓN!S12</f>
        <v>1467487257</v>
      </c>
      <c r="K18" s="240">
        <f t="shared" si="12"/>
        <v>1942070557</v>
      </c>
      <c r="L18" s="7" t="s">
        <v>761</v>
      </c>
      <c r="M18" s="300">
        <f t="shared" si="13"/>
        <v>0.4304039811187082</v>
      </c>
      <c r="N18" s="300">
        <f>INVESTIGACIÓN!B50</f>
        <v>0.5</v>
      </c>
      <c r="O18" s="317">
        <f t="shared" si="14"/>
        <v>0.46520199055935407</v>
      </c>
      <c r="Q18" s="316" t="s">
        <v>761</v>
      </c>
      <c r="R18" s="240">
        <f>SUM(SEGUIMIENTO!AK52:AK54)</f>
        <v>3409557814</v>
      </c>
      <c r="S18" s="240">
        <f>SUM(SEGUIMIENTO!AL52:AL54)</f>
        <v>2082457244</v>
      </c>
      <c r="T18" s="240">
        <f t="shared" si="15"/>
        <v>1327100570</v>
      </c>
      <c r="U18" s="7" t="s">
        <v>761</v>
      </c>
      <c r="V18" s="367">
        <f t="shared" si="16"/>
        <v>0.61077047453168654</v>
      </c>
      <c r="W18" s="367">
        <f>INVESTIGACIÓN!B110</f>
        <v>0.33333333333333337</v>
      </c>
      <c r="X18" s="367">
        <f t="shared" si="17"/>
        <v>0.47205190393250995</v>
      </c>
    </row>
    <row r="19" spans="1:24" x14ac:dyDescent="0.25">
      <c r="A19" s="7" t="s">
        <v>762</v>
      </c>
      <c r="B19" s="240">
        <f>SUM(Asignación!K49:K52)</f>
        <v>0</v>
      </c>
      <c r="C19" s="240">
        <f>SUM(SEGUIMIENTO!J55:J58)</f>
        <v>0</v>
      </c>
      <c r="D19" s="240">
        <f t="shared" si="10"/>
        <v>0</v>
      </c>
      <c r="E19" s="7" t="s">
        <v>762</v>
      </c>
      <c r="F19" s="275" t="e">
        <f t="shared" si="11"/>
        <v>#DIV/0!</v>
      </c>
      <c r="H19" s="316" t="s">
        <v>762</v>
      </c>
      <c r="I19" s="240">
        <f>INVESTIGACIÓN!R13</f>
        <v>1000000</v>
      </c>
      <c r="J19" s="240">
        <f>INVESTIGACIÓN!S13</f>
        <v>0</v>
      </c>
      <c r="K19" s="240">
        <f t="shared" si="12"/>
        <v>1000000</v>
      </c>
      <c r="L19" s="7" t="s">
        <v>762</v>
      </c>
      <c r="M19" s="300">
        <f t="shared" si="13"/>
        <v>0</v>
      </c>
      <c r="N19" s="300">
        <f>INVESTIGACIÓN!B51</f>
        <v>0.5</v>
      </c>
      <c r="O19" s="317">
        <f t="shared" si="14"/>
        <v>0.25</v>
      </c>
      <c r="Q19" s="316" t="s">
        <v>762</v>
      </c>
      <c r="R19" s="240">
        <f>SUM(SEGUIMIENTO!AK55:AK58)</f>
        <v>1000000</v>
      </c>
      <c r="S19" s="240">
        <f>SUM(SEGUIMIENTO!AL55:AL58)</f>
        <v>0</v>
      </c>
      <c r="T19" s="240">
        <f t="shared" si="15"/>
        <v>1000000</v>
      </c>
      <c r="U19" s="7" t="s">
        <v>762</v>
      </c>
      <c r="V19" s="367">
        <f t="shared" si="16"/>
        <v>0</v>
      </c>
      <c r="W19" s="367">
        <f>INVESTIGACIÓN!B111</f>
        <v>0</v>
      </c>
      <c r="X19" s="367">
        <f t="shared" si="17"/>
        <v>0</v>
      </c>
    </row>
    <row r="20" spans="1:24" x14ac:dyDescent="0.25">
      <c r="A20" s="7" t="s">
        <v>763</v>
      </c>
      <c r="B20" s="240">
        <f>SUM(Asignación!K53:K54)</f>
        <v>0</v>
      </c>
      <c r="C20" s="240">
        <f>SUM(SEGUIMIENTO!J59:J60)</f>
        <v>0</v>
      </c>
      <c r="D20" s="240">
        <f t="shared" si="10"/>
        <v>0</v>
      </c>
      <c r="E20" s="7" t="s">
        <v>763</v>
      </c>
      <c r="F20" s="275" t="e">
        <f t="shared" si="11"/>
        <v>#DIV/0!</v>
      </c>
      <c r="H20" s="316" t="s">
        <v>763</v>
      </c>
      <c r="I20" s="240">
        <f>INVESTIGACIÓN!R14</f>
        <v>1000000</v>
      </c>
      <c r="J20" s="240">
        <f>INVESTIGACIÓN!S14</f>
        <v>0</v>
      </c>
      <c r="K20" s="240">
        <f t="shared" si="12"/>
        <v>1000000</v>
      </c>
      <c r="L20" s="7" t="s">
        <v>763</v>
      </c>
      <c r="M20" s="300">
        <f t="shared" si="13"/>
        <v>0</v>
      </c>
      <c r="N20" s="300">
        <f>INVESTIGACIÓN!B52</f>
        <v>0</v>
      </c>
      <c r="O20" s="317">
        <f t="shared" si="14"/>
        <v>0</v>
      </c>
      <c r="Q20" s="316" t="s">
        <v>763</v>
      </c>
      <c r="R20" s="240">
        <f>SUM(SEGUIMIENTO!AK59:AK60)</f>
        <v>1000000</v>
      </c>
      <c r="S20" s="240">
        <f>SUM(SEGUIMIENTO!AL59:AL60)</f>
        <v>0</v>
      </c>
      <c r="T20" s="240">
        <f t="shared" si="15"/>
        <v>1000000</v>
      </c>
      <c r="U20" s="7" t="s">
        <v>763</v>
      </c>
      <c r="V20" s="367">
        <f t="shared" si="16"/>
        <v>0</v>
      </c>
      <c r="W20" s="367">
        <f>INVESTIGACIÓN!B112</f>
        <v>0.6</v>
      </c>
      <c r="X20" s="367">
        <f t="shared" si="17"/>
        <v>0.3</v>
      </c>
    </row>
    <row r="21" spans="1:24" x14ac:dyDescent="0.25">
      <c r="A21" s="7" t="s">
        <v>764</v>
      </c>
      <c r="B21" s="240">
        <f>SUM(Asignación!K55:K56)</f>
        <v>105000000</v>
      </c>
      <c r="C21" s="240">
        <f>SUM(SEGUIMIENTO!J61:J62)</f>
        <v>29825607</v>
      </c>
      <c r="D21" s="240">
        <f t="shared" si="10"/>
        <v>75174393</v>
      </c>
      <c r="E21" s="7" t="s">
        <v>764</v>
      </c>
      <c r="F21" s="275">
        <f t="shared" si="11"/>
        <v>0.28405340000000001</v>
      </c>
      <c r="H21" s="316" t="s">
        <v>764</v>
      </c>
      <c r="I21" s="240">
        <f>INVESTIGACIÓN!R15</f>
        <v>130000000</v>
      </c>
      <c r="J21" s="240">
        <f>INVESTIGACIÓN!S15</f>
        <v>82507534</v>
      </c>
      <c r="K21" s="240">
        <f t="shared" ref="K21:K22" si="18">I21-J21</f>
        <v>47492466</v>
      </c>
      <c r="L21" s="7" t="s">
        <v>764</v>
      </c>
      <c r="M21" s="300">
        <f t="shared" si="13"/>
        <v>0.63467333846153851</v>
      </c>
      <c r="N21" s="300">
        <f>INVESTIGACIÓN!B53</f>
        <v>1</v>
      </c>
      <c r="O21" s="317">
        <f t="shared" si="14"/>
        <v>0.81733666923076931</v>
      </c>
      <c r="Q21" s="316" t="s">
        <v>764</v>
      </c>
      <c r="R21" s="240">
        <f>SUM(SEGUIMIENTO!AK61:AK62)</f>
        <v>130000000</v>
      </c>
      <c r="S21" s="240">
        <f>SUM(SEGUIMIENTO!AL61:AL62)</f>
        <v>101522119</v>
      </c>
      <c r="T21" s="240">
        <f t="shared" si="15"/>
        <v>28477881</v>
      </c>
      <c r="U21" s="7" t="s">
        <v>764</v>
      </c>
      <c r="V21" s="367">
        <f t="shared" si="16"/>
        <v>0.78093937692307691</v>
      </c>
      <c r="W21" s="367">
        <f>INVESTIGACIÓN!B113</f>
        <v>0.5</v>
      </c>
      <c r="X21" s="367">
        <f t="shared" si="17"/>
        <v>0.6404696884615384</v>
      </c>
    </row>
    <row r="22" spans="1:24" x14ac:dyDescent="0.25">
      <c r="A22" s="7" t="s">
        <v>765</v>
      </c>
      <c r="B22" s="240">
        <f>SUM(Asignación!K57:K62)</f>
        <v>317267490</v>
      </c>
      <c r="C22" s="240">
        <f>SUM(SEGUIMIENTO!J63:J68)</f>
        <v>120924808</v>
      </c>
      <c r="D22" s="240">
        <f>B22-C22</f>
        <v>196342682</v>
      </c>
      <c r="E22" s="7" t="s">
        <v>765</v>
      </c>
      <c r="F22" s="275">
        <f t="shared" si="11"/>
        <v>0.38114465494085131</v>
      </c>
      <c r="H22" s="316" t="s">
        <v>765</v>
      </c>
      <c r="I22" s="240">
        <f>INVESTIGACIÓN!R16</f>
        <v>322267490</v>
      </c>
      <c r="J22" s="240">
        <f>INVESTIGACIÓN!S16</f>
        <v>175670050</v>
      </c>
      <c r="K22" s="240">
        <f t="shared" si="18"/>
        <v>146597440</v>
      </c>
      <c r="L22" s="7" t="s">
        <v>765</v>
      </c>
      <c r="M22" s="300">
        <f t="shared" si="13"/>
        <v>0.54510633387190255</v>
      </c>
      <c r="N22" s="300">
        <f>INVESTIGACIÓN!B54</f>
        <v>0.75</v>
      </c>
      <c r="O22" s="317">
        <f t="shared" si="14"/>
        <v>0.64755316693595133</v>
      </c>
      <c r="Q22" s="316" t="s">
        <v>765</v>
      </c>
      <c r="R22" s="240">
        <f>SUM(SEGUIMIENTO!AK63:AK68)</f>
        <v>322267490</v>
      </c>
      <c r="S22" s="240">
        <f>SUM(SEGUIMIENTO!AL63:AL68)</f>
        <v>256267991</v>
      </c>
      <c r="T22" s="240">
        <f t="shared" si="15"/>
        <v>65999499</v>
      </c>
      <c r="U22" s="7" t="s">
        <v>765</v>
      </c>
      <c r="V22" s="367">
        <f t="shared" si="16"/>
        <v>0.79520273981095646</v>
      </c>
      <c r="W22" s="367">
        <f>INVESTIGACIÓN!B114</f>
        <v>0.5</v>
      </c>
      <c r="X22" s="367">
        <f t="shared" si="17"/>
        <v>0.64760136990547823</v>
      </c>
    </row>
    <row r="23" spans="1:24" ht="15.75" thickBot="1" x14ac:dyDescent="0.3">
      <c r="A23" s="231" t="s">
        <v>754</v>
      </c>
      <c r="B23" s="245">
        <f>SUM(B14:B22)</f>
        <v>6782038629</v>
      </c>
      <c r="C23" s="245">
        <f t="shared" ref="C23:D23" si="19">SUM(C14:C22)</f>
        <v>1613550876</v>
      </c>
      <c r="D23" s="245">
        <f t="shared" si="19"/>
        <v>5168487753</v>
      </c>
      <c r="F23" s="275">
        <f>SUM(F22+F21+F18+F17+F16+F15+F14)/7</f>
        <v>0.24099389971991014</v>
      </c>
      <c r="H23" s="323" t="s">
        <v>728</v>
      </c>
      <c r="I23" s="324">
        <f>SUM(I14:I22)</f>
        <v>7127077871</v>
      </c>
      <c r="J23" s="324">
        <f t="shared" ref="J23:K23" si="20">SUM(J14:J22)</f>
        <v>3075142429</v>
      </c>
      <c r="K23" s="324">
        <f t="shared" si="20"/>
        <v>4051935442</v>
      </c>
      <c r="L23" s="325"/>
      <c r="M23" s="326">
        <f>AVERAGE(M14:M22)</f>
        <v>0.35874588497640852</v>
      </c>
      <c r="N23" s="326">
        <f>AVERAGE(N14:N22)</f>
        <v>0.61728395061728392</v>
      </c>
      <c r="O23" s="327">
        <f>AVERAGE(O14:O22)</f>
        <v>0.48801491779684625</v>
      </c>
      <c r="Q23" s="323" t="s">
        <v>728</v>
      </c>
      <c r="R23" s="324">
        <f>SUM(R14:R22)</f>
        <v>7127077871</v>
      </c>
      <c r="S23" s="324">
        <f t="shared" ref="S23:T23" si="21">SUM(S14:S22)</f>
        <v>5153369682</v>
      </c>
      <c r="T23" s="324">
        <f t="shared" si="21"/>
        <v>1973708189</v>
      </c>
      <c r="U23" s="325"/>
      <c r="V23" s="367">
        <f>AVERAGE(V14:V22)</f>
        <v>0.60503359077358487</v>
      </c>
      <c r="W23" s="367">
        <f>AVERAGE(W14:W22)</f>
        <v>0.44753086419753096</v>
      </c>
      <c r="X23" s="367">
        <f>AVERAGE(X14:X22)</f>
        <v>0.52628222748555786</v>
      </c>
    </row>
    <row r="24" spans="1:24" x14ac:dyDescent="0.25">
      <c r="D24" s="67"/>
    </row>
    <row r="25" spans="1:24" x14ac:dyDescent="0.25">
      <c r="A25" s="631" t="s">
        <v>784</v>
      </c>
      <c r="B25" s="631"/>
      <c r="C25" s="631"/>
      <c r="D25" s="631"/>
      <c r="H25" s="631" t="s">
        <v>802</v>
      </c>
      <c r="I25" s="631"/>
      <c r="J25" s="631"/>
      <c r="K25" s="631"/>
      <c r="Q25" s="631" t="s">
        <v>844</v>
      </c>
      <c r="R25" s="631"/>
      <c r="S25" s="631"/>
      <c r="T25" s="631"/>
    </row>
    <row r="26" spans="1:24" x14ac:dyDescent="0.25">
      <c r="A26" s="231" t="s">
        <v>750</v>
      </c>
      <c r="B26" s="231" t="s">
        <v>751</v>
      </c>
      <c r="C26" s="231" t="s">
        <v>752</v>
      </c>
      <c r="D26" s="231" t="s">
        <v>753</v>
      </c>
      <c r="E26" s="276" t="s">
        <v>750</v>
      </c>
      <c r="F26" s="291" t="s">
        <v>5</v>
      </c>
      <c r="H26" s="250" t="s">
        <v>750</v>
      </c>
      <c r="I26" s="250" t="s">
        <v>751</v>
      </c>
      <c r="J26" s="250" t="s">
        <v>752</v>
      </c>
      <c r="K26" s="250" t="s">
        <v>753</v>
      </c>
      <c r="L26" s="276" t="s">
        <v>750</v>
      </c>
      <c r="M26" s="291" t="s">
        <v>5</v>
      </c>
      <c r="N26" s="291" t="s">
        <v>6</v>
      </c>
      <c r="O26" s="291" t="s">
        <v>7</v>
      </c>
      <c r="Q26" s="355" t="s">
        <v>750</v>
      </c>
      <c r="R26" s="355" t="s">
        <v>751</v>
      </c>
      <c r="S26" s="355" t="s">
        <v>752</v>
      </c>
      <c r="T26" s="355" t="s">
        <v>753</v>
      </c>
      <c r="U26" s="355" t="s">
        <v>750</v>
      </c>
      <c r="V26" s="291" t="s">
        <v>5</v>
      </c>
      <c r="W26" s="291" t="s">
        <v>6</v>
      </c>
      <c r="X26" s="291" t="s">
        <v>7</v>
      </c>
    </row>
    <row r="27" spans="1:24" x14ac:dyDescent="0.25">
      <c r="A27" s="7" t="s">
        <v>776</v>
      </c>
      <c r="B27" s="240">
        <f>SUM(Asignación!K65:K67)</f>
        <v>171000000</v>
      </c>
      <c r="C27" s="240">
        <f>SUM(SEGUIMIENTO!J70:J72)</f>
        <v>57886200</v>
      </c>
      <c r="D27" s="240">
        <f t="shared" ref="D27:D34" si="22">B27-C27</f>
        <v>113113800</v>
      </c>
      <c r="E27" s="7" t="s">
        <v>776</v>
      </c>
      <c r="F27" s="275">
        <f>C27/B27</f>
        <v>0.33851578947368421</v>
      </c>
      <c r="H27" s="7" t="s">
        <v>776</v>
      </c>
      <c r="I27" s="240">
        <f>'PROPYECCION SOCIAL'!R8</f>
        <v>181000000</v>
      </c>
      <c r="J27" s="240">
        <f>'PROPYECCION SOCIAL'!S8</f>
        <v>128926411</v>
      </c>
      <c r="K27" s="240">
        <f t="shared" ref="K27:K34" si="23">I27-J27</f>
        <v>52073589</v>
      </c>
      <c r="L27" s="7" t="s">
        <v>776</v>
      </c>
      <c r="M27" s="275">
        <f>J27/I27</f>
        <v>0.71230061325966854</v>
      </c>
      <c r="N27" s="298">
        <f>'PROPYECCION SOCIAL'!B30</f>
        <v>0.5</v>
      </c>
      <c r="O27" s="298">
        <f>(M27+N27)/2</f>
        <v>0.60615030662983427</v>
      </c>
      <c r="Q27" s="7" t="s">
        <v>776</v>
      </c>
      <c r="R27" s="240">
        <f>SUM(SEGUIMIENTO!AK70:AK72)</f>
        <v>181000000</v>
      </c>
      <c r="S27" s="240">
        <f>SUM(SEGUIMIENTO!AL70:AL72)</f>
        <v>148501431</v>
      </c>
      <c r="T27" s="240">
        <f t="shared" ref="T27:T34" si="24">R27-S27</f>
        <v>32498569</v>
      </c>
      <c r="U27" s="7" t="s">
        <v>776</v>
      </c>
      <c r="V27" s="367">
        <f>S27/R27</f>
        <v>0.82044989502762433</v>
      </c>
      <c r="W27" s="367">
        <f>'PROPYECCION SOCIAL'!B82</f>
        <v>0</v>
      </c>
      <c r="X27" s="367">
        <f>(V27+W27)/2</f>
        <v>0.41022494751381217</v>
      </c>
    </row>
    <row r="28" spans="1:24" x14ac:dyDescent="0.25">
      <c r="A28" s="7" t="s">
        <v>777</v>
      </c>
      <c r="B28" s="240">
        <f>SUM(Asignación!K68:K68)</f>
        <v>34826876</v>
      </c>
      <c r="C28" s="240">
        <f>SUM(SEGUIMIENTO!J73)</f>
        <v>22563666</v>
      </c>
      <c r="D28" s="240">
        <f t="shared" si="22"/>
        <v>12263210</v>
      </c>
      <c r="E28" s="7" t="s">
        <v>777</v>
      </c>
      <c r="F28" s="275">
        <f t="shared" ref="F28:F34" si="25">C28/B28</f>
        <v>0.64788084926135781</v>
      </c>
      <c r="H28" s="7" t="s">
        <v>777</v>
      </c>
      <c r="I28" s="240">
        <f>'PROPYECCION SOCIAL'!R9</f>
        <v>70000000</v>
      </c>
      <c r="J28" s="240">
        <f>'PROPYECCION SOCIAL'!S9</f>
        <v>30768091</v>
      </c>
      <c r="K28" s="240">
        <f t="shared" si="23"/>
        <v>39231909</v>
      </c>
      <c r="L28" s="7" t="s">
        <v>777</v>
      </c>
      <c r="M28" s="275">
        <f t="shared" ref="M28:M34" si="26">J28/I28</f>
        <v>0.43954415714285716</v>
      </c>
      <c r="N28" s="298">
        <f>'PROPYECCION SOCIAL'!B31</f>
        <v>1</v>
      </c>
      <c r="O28" s="298">
        <f t="shared" ref="O28:O34" si="27">(M28+N28)/2</f>
        <v>0.71977207857142855</v>
      </c>
      <c r="Q28" s="7" t="s">
        <v>777</v>
      </c>
      <c r="R28" s="240">
        <f>SEGUIMIENTO!AK73</f>
        <v>70000000</v>
      </c>
      <c r="S28" s="240">
        <f>SEGUIMIENTO!AL73</f>
        <v>46954858</v>
      </c>
      <c r="T28" s="240">
        <f t="shared" si="24"/>
        <v>23045142</v>
      </c>
      <c r="U28" s="7" t="s">
        <v>777</v>
      </c>
      <c r="V28" s="367">
        <f t="shared" ref="V28:V34" si="28">S28/R28</f>
        <v>0.6707836857142857</v>
      </c>
      <c r="W28" s="367">
        <f>'PROPYECCION SOCIAL'!B83</f>
        <v>0</v>
      </c>
      <c r="X28" s="367">
        <f t="shared" ref="X28:X34" si="29">(V28+W28)/2</f>
        <v>0.33539184285714285</v>
      </c>
    </row>
    <row r="29" spans="1:24" x14ac:dyDescent="0.25">
      <c r="A29" s="7" t="s">
        <v>778</v>
      </c>
      <c r="B29" s="240">
        <f>SUM(Asignación!K69:K76)</f>
        <v>1558017013</v>
      </c>
      <c r="C29" s="7">
        <f>SUM(SEGUIMIENTO!J74:J81)</f>
        <v>244019822</v>
      </c>
      <c r="D29" s="240">
        <f t="shared" si="22"/>
        <v>1313997191</v>
      </c>
      <c r="E29" s="7" t="s">
        <v>778</v>
      </c>
      <c r="F29" s="275">
        <f t="shared" si="25"/>
        <v>0.15662205223942571</v>
      </c>
      <c r="H29" s="7" t="s">
        <v>778</v>
      </c>
      <c r="I29" s="240">
        <f>'PROPYECCION SOCIAL'!R10</f>
        <v>1803595852</v>
      </c>
      <c r="J29" s="240">
        <f>'PROPYECCION SOCIAL'!S10</f>
        <v>1096162088</v>
      </c>
      <c r="K29" s="240">
        <f t="shared" si="23"/>
        <v>707433764</v>
      </c>
      <c r="L29" s="7" t="s">
        <v>778</v>
      </c>
      <c r="M29" s="275">
        <f t="shared" si="26"/>
        <v>0.60776480872057359</v>
      </c>
      <c r="N29" s="298">
        <f>'PROPYECCION SOCIAL'!B32</f>
        <v>0.5</v>
      </c>
      <c r="O29" s="298">
        <f t="shared" si="27"/>
        <v>0.5538824043602868</v>
      </c>
      <c r="Q29" s="7" t="s">
        <v>778</v>
      </c>
      <c r="R29" s="240">
        <f>SUM(SEGUIMIENTO!AK74:AK81)</f>
        <v>1803595852</v>
      </c>
      <c r="S29" s="240">
        <f>SUM(SEGUIMIENTO!AL74:AL81)</f>
        <v>1423641156</v>
      </c>
      <c r="T29" s="240">
        <f t="shared" si="24"/>
        <v>379954696</v>
      </c>
      <c r="U29" s="7" t="s">
        <v>778</v>
      </c>
      <c r="V29" s="367">
        <f t="shared" si="28"/>
        <v>0.78933490250675076</v>
      </c>
      <c r="W29" s="367">
        <f>'PROPYECCION SOCIAL'!B84</f>
        <v>0</v>
      </c>
      <c r="X29" s="367">
        <f t="shared" si="29"/>
        <v>0.39466745125337538</v>
      </c>
    </row>
    <row r="30" spans="1:24" x14ac:dyDescent="0.25">
      <c r="A30" s="7" t="s">
        <v>779</v>
      </c>
      <c r="B30" s="240">
        <f>SUM(Asignación!K77:K82)</f>
        <v>30000000</v>
      </c>
      <c r="C30" s="240">
        <f>SUM(SEGUIMIENTO!J82:J87)</f>
        <v>742630</v>
      </c>
      <c r="D30" s="240">
        <f t="shared" si="22"/>
        <v>29257370</v>
      </c>
      <c r="E30" s="7" t="s">
        <v>779</v>
      </c>
      <c r="F30" s="275">
        <f t="shared" si="25"/>
        <v>2.4754333333333333E-2</v>
      </c>
      <c r="H30" s="7" t="s">
        <v>779</v>
      </c>
      <c r="I30" s="240">
        <f>'PROPYECCION SOCIAL'!R11</f>
        <v>30000000</v>
      </c>
      <c r="J30" s="240">
        <f>'PROPYECCION SOCIAL'!S11</f>
        <v>742630</v>
      </c>
      <c r="K30" s="240">
        <f t="shared" si="23"/>
        <v>29257370</v>
      </c>
      <c r="L30" s="7" t="s">
        <v>779</v>
      </c>
      <c r="M30" s="275">
        <f t="shared" si="26"/>
        <v>2.4754333333333333E-2</v>
      </c>
      <c r="N30" s="298">
        <f>'PROPYECCION SOCIAL'!B33</f>
        <v>0.5</v>
      </c>
      <c r="O30" s="298">
        <f t="shared" si="27"/>
        <v>0.26237716666666666</v>
      </c>
      <c r="Q30" s="7" t="s">
        <v>779</v>
      </c>
      <c r="R30" s="240">
        <f>SUM(SEGUIMIENTO!AK82:AK87)</f>
        <v>30000000</v>
      </c>
      <c r="S30" s="240">
        <f>SUM(SEGUIMIENTO!AL82:AL87)</f>
        <v>23652597</v>
      </c>
      <c r="T30" s="240">
        <f t="shared" si="24"/>
        <v>6347403</v>
      </c>
      <c r="U30" s="7" t="s">
        <v>779</v>
      </c>
      <c r="V30" s="367">
        <f t="shared" si="28"/>
        <v>0.78841989999999995</v>
      </c>
      <c r="W30" s="367">
        <f>'PROPYECCION SOCIAL'!B85</f>
        <v>0</v>
      </c>
      <c r="X30" s="367">
        <f t="shared" si="29"/>
        <v>0.39420994999999998</v>
      </c>
    </row>
    <row r="31" spans="1:24" x14ac:dyDescent="0.25">
      <c r="A31" s="7" t="s">
        <v>780</v>
      </c>
      <c r="B31" s="240">
        <f>SUM(Asignación!K83:K85)</f>
        <v>20000000</v>
      </c>
      <c r="C31" s="240">
        <f>SUM(SEGUIMIENTO!J88:J89)</f>
        <v>0</v>
      </c>
      <c r="D31" s="240">
        <f t="shared" si="22"/>
        <v>20000000</v>
      </c>
      <c r="E31" s="7" t="s">
        <v>780</v>
      </c>
      <c r="F31" s="275">
        <f t="shared" si="25"/>
        <v>0</v>
      </c>
      <c r="H31" s="7" t="s">
        <v>780</v>
      </c>
      <c r="I31" s="240">
        <f>'PROPYECCION SOCIAL'!R12</f>
        <v>24826876</v>
      </c>
      <c r="J31" s="240">
        <f>'PROPYECCION SOCIAL'!S12</f>
        <v>13638046</v>
      </c>
      <c r="K31" s="240">
        <f t="shared" si="23"/>
        <v>11188830</v>
      </c>
      <c r="L31" s="7" t="s">
        <v>780</v>
      </c>
      <c r="M31" s="275">
        <f t="shared" si="26"/>
        <v>0.54932589988365832</v>
      </c>
      <c r="N31" s="298">
        <f>'PROPYECCION SOCIAL'!B34</f>
        <v>0.66666666666666674</v>
      </c>
      <c r="O31" s="298">
        <f t="shared" si="27"/>
        <v>0.60799628327516253</v>
      </c>
      <c r="Q31" s="7" t="s">
        <v>780</v>
      </c>
      <c r="R31" s="240">
        <f>SUM(SEGUIMIENTO!AK88:AK90)</f>
        <v>24826876</v>
      </c>
      <c r="S31" s="240">
        <f>SUM(SEGUIMIENTO!AL88:AL90)</f>
        <v>19930546</v>
      </c>
      <c r="T31" s="240">
        <f t="shared" si="24"/>
        <v>4896330</v>
      </c>
      <c r="U31" s="7" t="s">
        <v>780</v>
      </c>
      <c r="V31" s="367">
        <f t="shared" si="28"/>
        <v>0.80278106677618244</v>
      </c>
      <c r="W31" s="367">
        <f>'PROPYECCION SOCIAL'!B86</f>
        <v>0</v>
      </c>
      <c r="X31" s="367">
        <f t="shared" si="29"/>
        <v>0.40139053338809122</v>
      </c>
    </row>
    <row r="32" spans="1:24" x14ac:dyDescent="0.25">
      <c r="A32" s="7" t="s">
        <v>781</v>
      </c>
      <c r="B32" s="240">
        <f>SUM(Asignación!K86:K89)</f>
        <v>20000000</v>
      </c>
      <c r="C32" s="240">
        <f>SUM(SEGUIMIENTO!J91:J94)</f>
        <v>19993101</v>
      </c>
      <c r="D32" s="240">
        <f t="shared" si="22"/>
        <v>6899</v>
      </c>
      <c r="E32" s="7" t="s">
        <v>781</v>
      </c>
      <c r="F32" s="275">
        <f t="shared" si="25"/>
        <v>0.99965504999999999</v>
      </c>
      <c r="H32" s="7" t="s">
        <v>781</v>
      </c>
      <c r="I32" s="240">
        <f>'PROPYECCION SOCIAL'!R13</f>
        <v>20000000</v>
      </c>
      <c r="J32" s="240">
        <f>'PROPYECCION SOCIAL'!S13</f>
        <v>19993101</v>
      </c>
      <c r="K32" s="240">
        <f t="shared" si="23"/>
        <v>6899</v>
      </c>
      <c r="L32" s="7" t="s">
        <v>781</v>
      </c>
      <c r="M32" s="275">
        <f t="shared" si="26"/>
        <v>0.99965504999999999</v>
      </c>
      <c r="N32" s="298">
        <f>'PROPYECCION SOCIAL'!B35</f>
        <v>0</v>
      </c>
      <c r="O32" s="298">
        <f t="shared" si="27"/>
        <v>0.49982752499999999</v>
      </c>
      <c r="Q32" s="7" t="s">
        <v>781</v>
      </c>
      <c r="R32" s="240">
        <f>SUM(SEGUIMIENTO!AK91:AK94)</f>
        <v>60000000</v>
      </c>
      <c r="S32" s="240">
        <f>SUM(SEGUIMIENTO!AL91:AL94)</f>
        <v>39343101</v>
      </c>
      <c r="T32" s="240">
        <f t="shared" si="24"/>
        <v>20656899</v>
      </c>
      <c r="U32" s="7" t="s">
        <v>781</v>
      </c>
      <c r="V32" s="367">
        <f t="shared" si="28"/>
        <v>0.65571835000000001</v>
      </c>
      <c r="W32" s="367">
        <f>'PROPYECCION SOCIAL'!B87</f>
        <v>0</v>
      </c>
      <c r="X32" s="367">
        <f t="shared" si="29"/>
        <v>0.327859175</v>
      </c>
    </row>
    <row r="33" spans="1:24" x14ac:dyDescent="0.25">
      <c r="A33" s="7" t="s">
        <v>782</v>
      </c>
      <c r="B33" s="240">
        <f>SUM(Asignación!K90:K91)</f>
        <v>10000000</v>
      </c>
      <c r="C33" s="240">
        <f>SUM(SEGUIMIENTO!J95:J96)</f>
        <v>0</v>
      </c>
      <c r="D33" s="240">
        <f t="shared" si="22"/>
        <v>10000000</v>
      </c>
      <c r="E33" s="7" t="s">
        <v>782</v>
      </c>
      <c r="F33" s="275">
        <f t="shared" si="25"/>
        <v>0</v>
      </c>
      <c r="H33" s="7" t="s">
        <v>782</v>
      </c>
      <c r="I33" s="240">
        <f>'PROPYECCION SOCIAL'!R14</f>
        <v>10000000</v>
      </c>
      <c r="J33" s="240">
        <f>'PROPYECCION SOCIAL'!S14</f>
        <v>5000000</v>
      </c>
      <c r="K33" s="240">
        <f t="shared" si="23"/>
        <v>5000000</v>
      </c>
      <c r="L33" s="7" t="s">
        <v>782</v>
      </c>
      <c r="M33" s="275">
        <f t="shared" si="26"/>
        <v>0.5</v>
      </c>
      <c r="N33" s="298">
        <f>'PROPYECCION SOCIAL'!B36</f>
        <v>0.5</v>
      </c>
      <c r="O33" s="298">
        <f t="shared" si="27"/>
        <v>0.5</v>
      </c>
      <c r="Q33" s="7" t="s">
        <v>782</v>
      </c>
      <c r="R33" s="240">
        <f>SUM(SEGUIMIENTO!AK95:AK96)</f>
        <v>10000000</v>
      </c>
      <c r="S33" s="240">
        <f>SUM(SEGUIMIENTO!AL95:AL96)</f>
        <v>5000000</v>
      </c>
      <c r="T33" s="240">
        <f t="shared" si="24"/>
        <v>5000000</v>
      </c>
      <c r="U33" s="7" t="s">
        <v>782</v>
      </c>
      <c r="V33" s="367">
        <f t="shared" si="28"/>
        <v>0.5</v>
      </c>
      <c r="W33" s="367">
        <f>'PROPYECCION SOCIAL'!B88</f>
        <v>0</v>
      </c>
      <c r="X33" s="367">
        <f t="shared" si="29"/>
        <v>0.25</v>
      </c>
    </row>
    <row r="34" spans="1:24" x14ac:dyDescent="0.25">
      <c r="A34" s="7" t="s">
        <v>783</v>
      </c>
      <c r="B34" s="240">
        <f>SUM(Asignación!K92:K95)</f>
        <v>234029791</v>
      </c>
      <c r="C34" s="240">
        <f>SUM(SEGUIMIENTO!J97:J100)</f>
        <v>140779342</v>
      </c>
      <c r="D34" s="240">
        <f t="shared" si="22"/>
        <v>93250449</v>
      </c>
      <c r="E34" s="7" t="s">
        <v>783</v>
      </c>
      <c r="F34" s="275">
        <f t="shared" si="25"/>
        <v>0.6015445358407383</v>
      </c>
      <c r="H34" s="7" t="s">
        <v>783</v>
      </c>
      <c r="I34" s="240">
        <f>'PROPYECCION SOCIAL'!R15</f>
        <v>292967589</v>
      </c>
      <c r="J34" s="240">
        <f>'PROPYECCION SOCIAL'!S15</f>
        <v>201949815</v>
      </c>
      <c r="K34" s="240">
        <f t="shared" si="23"/>
        <v>91017774</v>
      </c>
      <c r="L34" s="7" t="s">
        <v>783</v>
      </c>
      <c r="M34" s="275">
        <f t="shared" si="26"/>
        <v>0.68932476691133227</v>
      </c>
      <c r="N34" s="298">
        <f>'PROPYECCION SOCIAL'!B37</f>
        <v>1</v>
      </c>
      <c r="O34" s="298">
        <f t="shared" si="27"/>
        <v>0.84466238345566613</v>
      </c>
      <c r="Q34" s="7" t="s">
        <v>783</v>
      </c>
      <c r="R34" s="240">
        <f>SUM(SEGUIMIENTO!AK97:AK100)</f>
        <v>352967589</v>
      </c>
      <c r="S34" s="240">
        <f>SUM(SEGUIMIENTO!AL97:AL100)</f>
        <v>286343764</v>
      </c>
      <c r="T34" s="240">
        <f t="shared" si="24"/>
        <v>66623825</v>
      </c>
      <c r="U34" s="7" t="s">
        <v>783</v>
      </c>
      <c r="V34" s="367">
        <f t="shared" si="28"/>
        <v>0.81124662128680602</v>
      </c>
      <c r="W34" s="367">
        <f>'PROPYECCION SOCIAL'!B89</f>
        <v>0</v>
      </c>
      <c r="X34" s="367">
        <f t="shared" si="29"/>
        <v>0.40562331064340301</v>
      </c>
    </row>
    <row r="35" spans="1:24" x14ac:dyDescent="0.25">
      <c r="A35" s="231" t="s">
        <v>754</v>
      </c>
      <c r="B35" s="245">
        <f>SUM(B27:B34)</f>
        <v>2077873680</v>
      </c>
      <c r="C35" s="245">
        <f t="shared" ref="C35:D35" si="30">SUM(C27:C34)</f>
        <v>485984761</v>
      </c>
      <c r="D35" s="245">
        <f t="shared" si="30"/>
        <v>1591888919</v>
      </c>
      <c r="F35" s="275">
        <f>AVERAGE(F27:F34)</f>
        <v>0.34612157626856743</v>
      </c>
      <c r="H35" s="250" t="s">
        <v>754</v>
      </c>
      <c r="I35" s="245">
        <f>SUM(I27:I34)</f>
        <v>2432390317</v>
      </c>
      <c r="J35" s="245">
        <f t="shared" ref="J35:K35" si="31">SUM(J27:J34)</f>
        <v>1497180182</v>
      </c>
      <c r="K35" s="245">
        <f t="shared" si="31"/>
        <v>935210135</v>
      </c>
      <c r="M35" s="298">
        <f>AVERAGE(M27:M34)</f>
        <v>0.56533370365642788</v>
      </c>
      <c r="N35" s="298">
        <f>AVERAGE(N27:N34)</f>
        <v>0.58333333333333337</v>
      </c>
      <c r="O35" s="298">
        <f>AVERAGE(O27:O34)</f>
        <v>0.57433351849488057</v>
      </c>
      <c r="Q35" s="355" t="s">
        <v>754</v>
      </c>
      <c r="R35" s="245">
        <f>SUM(R27:R34)</f>
        <v>2532390317</v>
      </c>
      <c r="S35" s="245">
        <f t="shared" ref="S35:T35" si="32">SUM(S27:S34)</f>
        <v>1993367453</v>
      </c>
      <c r="T35" s="245">
        <f t="shared" si="32"/>
        <v>539022864</v>
      </c>
      <c r="V35" s="367">
        <f>AVERAGE(V27:V34)</f>
        <v>0.72984180266395615</v>
      </c>
      <c r="W35" s="367">
        <f>AVERAGE(W27:W34)</f>
        <v>0</v>
      </c>
      <c r="X35" s="367">
        <f>AVERAGE(X27:X34)</f>
        <v>0.36492090133197808</v>
      </c>
    </row>
    <row r="38" spans="1:24" ht="15.75" thickBot="1" x14ac:dyDescent="0.3">
      <c r="A38" s="631" t="s">
        <v>785</v>
      </c>
      <c r="B38" s="631"/>
      <c r="C38" s="631"/>
      <c r="D38" s="631"/>
      <c r="H38" s="632" t="s">
        <v>832</v>
      </c>
      <c r="I38" s="632"/>
      <c r="J38" s="632"/>
      <c r="K38" s="632"/>
      <c r="Q38" s="632" t="s">
        <v>845</v>
      </c>
      <c r="R38" s="632"/>
      <c r="S38" s="632"/>
      <c r="T38" s="632"/>
    </row>
    <row r="39" spans="1:24" x14ac:dyDescent="0.25">
      <c r="A39" s="231" t="s">
        <v>750</v>
      </c>
      <c r="B39" s="231" t="s">
        <v>751</v>
      </c>
      <c r="C39" s="231" t="s">
        <v>752</v>
      </c>
      <c r="D39" s="231" t="s">
        <v>753</v>
      </c>
      <c r="E39" s="276" t="s">
        <v>750</v>
      </c>
      <c r="F39" s="291" t="s">
        <v>5</v>
      </c>
      <c r="H39" s="313" t="s">
        <v>750</v>
      </c>
      <c r="I39" s="314" t="s">
        <v>751</v>
      </c>
      <c r="J39" s="314" t="s">
        <v>752</v>
      </c>
      <c r="K39" s="314" t="s">
        <v>753</v>
      </c>
      <c r="L39" s="314" t="s">
        <v>750</v>
      </c>
      <c r="M39" s="314" t="s">
        <v>5</v>
      </c>
      <c r="N39" s="314" t="s">
        <v>6</v>
      </c>
      <c r="O39" s="315" t="s">
        <v>7</v>
      </c>
      <c r="Q39" s="313" t="s">
        <v>750</v>
      </c>
      <c r="R39" s="314" t="s">
        <v>751</v>
      </c>
      <c r="S39" s="314" t="s">
        <v>752</v>
      </c>
      <c r="T39" s="314" t="s">
        <v>753</v>
      </c>
      <c r="U39" s="314" t="s">
        <v>750</v>
      </c>
      <c r="V39" s="314" t="s">
        <v>5</v>
      </c>
      <c r="W39" s="314" t="s">
        <v>6</v>
      </c>
      <c r="X39" s="315" t="s">
        <v>7</v>
      </c>
    </row>
    <row r="40" spans="1:24" x14ac:dyDescent="0.25">
      <c r="A40" s="228" t="s">
        <v>788</v>
      </c>
      <c r="B40" s="240">
        <f>SUM(Asignación!K97:K104)</f>
        <v>416955000</v>
      </c>
      <c r="C40" s="240">
        <f>SUM(SEGUIMIENTO!J102:J109)</f>
        <v>175847257</v>
      </c>
      <c r="D40" s="240">
        <f t="shared" ref="D40:D45" si="33">B40-C40</f>
        <v>241107743</v>
      </c>
      <c r="E40" s="274" t="s">
        <v>788</v>
      </c>
      <c r="F40" s="275">
        <f>C40/B40</f>
        <v>0.42174157163243037</v>
      </c>
      <c r="H40" s="328" t="s">
        <v>788</v>
      </c>
      <c r="I40" s="240">
        <f>BIENESTAR!R8</f>
        <v>423946754</v>
      </c>
      <c r="J40" s="240">
        <f>BIENESTAR!S8</f>
        <v>292405407</v>
      </c>
      <c r="K40" s="240">
        <f t="shared" ref="K40:K45" si="34">I40-J40</f>
        <v>131541347</v>
      </c>
      <c r="L40" s="296" t="s">
        <v>788</v>
      </c>
      <c r="M40" s="300">
        <f>J40/I40</f>
        <v>0.6897220092879871</v>
      </c>
      <c r="N40" s="300">
        <f>BIENESTAR!B28</f>
        <v>0.7142857142857143</v>
      </c>
      <c r="O40" s="317">
        <f>(M40+N40)/2</f>
        <v>0.7020038617868507</v>
      </c>
      <c r="Q40" s="328" t="s">
        <v>788</v>
      </c>
      <c r="R40" s="240">
        <f>SUM(SEGUIMIENTO!AK102:AK109)</f>
        <v>423946754</v>
      </c>
      <c r="S40" s="240">
        <f>SUM(SEGUIMIENTO!AL102:AL109)</f>
        <v>433105711</v>
      </c>
      <c r="T40" s="240">
        <f t="shared" ref="T40:T45" si="35">R40-S40</f>
        <v>-9158957</v>
      </c>
      <c r="U40" s="339" t="s">
        <v>788</v>
      </c>
      <c r="V40" s="367">
        <f>S40/R40</f>
        <v>1.0216040267169966</v>
      </c>
      <c r="W40" s="367">
        <f>BIENESTAR!B61</f>
        <v>0.7142857142857143</v>
      </c>
      <c r="X40" s="367">
        <f>(V40+W40)/2</f>
        <v>0.86794487050135549</v>
      </c>
    </row>
    <row r="41" spans="1:24" x14ac:dyDescent="0.25">
      <c r="A41" s="228" t="s">
        <v>789</v>
      </c>
      <c r="B41" s="240">
        <f>SUM(Asignación!K105)</f>
        <v>415000000</v>
      </c>
      <c r="C41" s="240">
        <f>SUM(SEGUIMIENTO!J110)</f>
        <v>150998077</v>
      </c>
      <c r="D41" s="240">
        <f t="shared" si="33"/>
        <v>264001923</v>
      </c>
      <c r="E41" s="274" t="s">
        <v>789</v>
      </c>
      <c r="F41" s="275">
        <f t="shared" ref="F41:F45" si="36">C41/B41</f>
        <v>0.36385078795180725</v>
      </c>
      <c r="H41" s="328" t="s">
        <v>789</v>
      </c>
      <c r="I41" s="240">
        <f>BIENESTAR!R9</f>
        <v>497028160</v>
      </c>
      <c r="J41" s="240">
        <f>BIENESTAR!S9</f>
        <v>209845541</v>
      </c>
      <c r="K41" s="240">
        <f t="shared" si="34"/>
        <v>287182619</v>
      </c>
      <c r="L41" s="296" t="s">
        <v>789</v>
      </c>
      <c r="M41" s="300">
        <f t="shared" ref="M41:M45" si="37">J41/I41</f>
        <v>0.42220050670770848</v>
      </c>
      <c r="N41" s="300">
        <f>BIENESTAR!B29</f>
        <v>1</v>
      </c>
      <c r="O41" s="317">
        <f t="shared" ref="O41:O45" si="38">(M41+N41)/2</f>
        <v>0.71110025335385418</v>
      </c>
      <c r="Q41" s="328" t="s">
        <v>789</v>
      </c>
      <c r="R41" s="240">
        <f>SEGUIMIENTO!AK110</f>
        <v>497028160</v>
      </c>
      <c r="S41" s="240">
        <f>SEGUIMIENTO!AL110</f>
        <v>434042517</v>
      </c>
      <c r="T41" s="240">
        <f t="shared" si="35"/>
        <v>62985643</v>
      </c>
      <c r="U41" s="339" t="s">
        <v>789</v>
      </c>
      <c r="V41" s="367">
        <f t="shared" ref="V41:V45" si="39">S41/R41</f>
        <v>0.87327550414849731</v>
      </c>
      <c r="W41" s="367">
        <f>BIENESTAR!B62</f>
        <v>1</v>
      </c>
      <c r="X41" s="367">
        <f t="shared" ref="X41:X45" si="40">(V41+W41)/2</f>
        <v>0.9366377520742486</v>
      </c>
    </row>
    <row r="42" spans="1:24" x14ac:dyDescent="0.25">
      <c r="A42" s="228" t="s">
        <v>790</v>
      </c>
      <c r="B42" s="240">
        <f>SUM(Asignación!K106)</f>
        <v>408450000</v>
      </c>
      <c r="C42" s="240">
        <f>SUM(SEGUIMIENTO!J112)</f>
        <v>136003685</v>
      </c>
      <c r="D42" s="240">
        <f t="shared" si="33"/>
        <v>272446315</v>
      </c>
      <c r="E42" s="274" t="s">
        <v>790</v>
      </c>
      <c r="F42" s="275">
        <f t="shared" si="36"/>
        <v>0.33297511323295387</v>
      </c>
      <c r="H42" s="328" t="s">
        <v>790</v>
      </c>
      <c r="I42" s="240">
        <f>BIENESTAR!R10</f>
        <v>416048971</v>
      </c>
      <c r="J42" s="240">
        <f>BIENESTAR!S10</f>
        <v>237727685</v>
      </c>
      <c r="K42" s="240">
        <f t="shared" si="34"/>
        <v>178321286</v>
      </c>
      <c r="L42" s="296" t="s">
        <v>790</v>
      </c>
      <c r="M42" s="300">
        <f t="shared" si="37"/>
        <v>0.57139351751935952</v>
      </c>
      <c r="N42" s="300">
        <f>BIENESTAR!B30</f>
        <v>1</v>
      </c>
      <c r="O42" s="317">
        <f t="shared" si="38"/>
        <v>0.7856967587596797</v>
      </c>
      <c r="Q42" s="328" t="s">
        <v>790</v>
      </c>
      <c r="R42" s="240">
        <f>SEGUIMIENTO!AK112</f>
        <v>416048971</v>
      </c>
      <c r="S42" s="240">
        <f>SEGUIMIENTO!AL112</f>
        <v>382457971</v>
      </c>
      <c r="T42" s="240">
        <f t="shared" si="35"/>
        <v>33591000</v>
      </c>
      <c r="U42" s="339" t="s">
        <v>790</v>
      </c>
      <c r="V42" s="367">
        <f t="shared" si="39"/>
        <v>0.91926190823339404</v>
      </c>
      <c r="W42" s="367">
        <f>BIENESTAR!B63</f>
        <v>1</v>
      </c>
      <c r="X42" s="367">
        <f t="shared" si="40"/>
        <v>0.95963095411669697</v>
      </c>
    </row>
    <row r="43" spans="1:24" x14ac:dyDescent="0.25">
      <c r="A43" s="228" t="s">
        <v>791</v>
      </c>
      <c r="B43" s="240">
        <f>SUM(Asignación!K107)</f>
        <v>76465225</v>
      </c>
      <c r="C43" s="240">
        <f>SUM(SEGUIMIENTO!J115)</f>
        <v>10870000</v>
      </c>
      <c r="D43" s="240">
        <f t="shared" si="33"/>
        <v>65595225</v>
      </c>
      <c r="E43" s="274" t="s">
        <v>791</v>
      </c>
      <c r="F43" s="275">
        <f t="shared" si="36"/>
        <v>0.14215612391122892</v>
      </c>
      <c r="H43" s="328" t="s">
        <v>791</v>
      </c>
      <c r="I43" s="240">
        <f>BIENESTAR!R11</f>
        <v>125165225</v>
      </c>
      <c r="J43" s="240">
        <f>BIENESTAR!S11</f>
        <v>82611083</v>
      </c>
      <c r="K43" s="240">
        <f t="shared" si="34"/>
        <v>42554142</v>
      </c>
      <c r="L43" s="296" t="s">
        <v>791</v>
      </c>
      <c r="M43" s="300">
        <f t="shared" si="37"/>
        <v>0.66001625451478241</v>
      </c>
      <c r="N43" s="300">
        <f>BIENESTAR!B31</f>
        <v>1</v>
      </c>
      <c r="O43" s="317">
        <f t="shared" si="38"/>
        <v>0.83000812725739115</v>
      </c>
      <c r="Q43" s="328" t="s">
        <v>791</v>
      </c>
      <c r="R43" s="240">
        <f>SEGUIMIENTO!AK115</f>
        <v>125165225</v>
      </c>
      <c r="S43" s="240">
        <f>SEGUIMIENTO!AL115</f>
        <v>83669383</v>
      </c>
      <c r="T43" s="240">
        <f t="shared" si="35"/>
        <v>41495842</v>
      </c>
      <c r="U43" s="339" t="s">
        <v>791</v>
      </c>
      <c r="V43" s="367">
        <f t="shared" si="39"/>
        <v>0.6684714783998511</v>
      </c>
      <c r="W43" s="367">
        <f>BIENESTAR!B64</f>
        <v>0</v>
      </c>
      <c r="X43" s="367">
        <f t="shared" si="40"/>
        <v>0.33423573919992555</v>
      </c>
    </row>
    <row r="44" spans="1:24" x14ac:dyDescent="0.25">
      <c r="A44" s="228" t="s">
        <v>792</v>
      </c>
      <c r="B44" s="7">
        <f>SUM(Asignación!K108:K110)</f>
        <v>1545437569</v>
      </c>
      <c r="C44" s="240">
        <f>SUM(SEGUIMIENTO!J117:J122)</f>
        <v>1479730842</v>
      </c>
      <c r="D44" s="240">
        <f t="shared" si="33"/>
        <v>65706727</v>
      </c>
      <c r="E44" s="274" t="s">
        <v>792</v>
      </c>
      <c r="F44" s="275">
        <f t="shared" si="36"/>
        <v>0.95748341549473492</v>
      </c>
      <c r="H44" s="328" t="s">
        <v>792</v>
      </c>
      <c r="I44" s="240">
        <f>BIENESTAR!R12</f>
        <v>1431437569</v>
      </c>
      <c r="J44" s="240">
        <f>BIENESTAR!S12</f>
        <v>627316480</v>
      </c>
      <c r="K44" s="240">
        <f t="shared" si="34"/>
        <v>804121089</v>
      </c>
      <c r="L44" s="296" t="s">
        <v>792</v>
      </c>
      <c r="M44" s="300">
        <f t="shared" si="37"/>
        <v>0.43824229123610492</v>
      </c>
      <c r="N44" s="300">
        <f>BIENESTAR!B32</f>
        <v>0.66666666666666674</v>
      </c>
      <c r="O44" s="317">
        <f t="shared" si="38"/>
        <v>0.55245447895138589</v>
      </c>
      <c r="Q44" s="328" t="s">
        <v>792</v>
      </c>
      <c r="R44" s="240">
        <f>SUM(SEGUIMIENTO!AK117:AK122)</f>
        <v>1548650723</v>
      </c>
      <c r="S44" s="240">
        <f>SUM(SEGUIMIENTO!AL117:AL122)</f>
        <v>1145562668</v>
      </c>
      <c r="T44" s="240">
        <f t="shared" si="35"/>
        <v>403088055</v>
      </c>
      <c r="U44" s="339" t="s">
        <v>792</v>
      </c>
      <c r="V44" s="367">
        <f t="shared" si="39"/>
        <v>0.73971661329860761</v>
      </c>
      <c r="W44" s="367">
        <f>BIENESTAR!B65</f>
        <v>1</v>
      </c>
      <c r="X44" s="367">
        <f t="shared" si="40"/>
        <v>0.86985830664930375</v>
      </c>
    </row>
    <row r="45" spans="1:24" x14ac:dyDescent="0.25">
      <c r="A45" s="228" t="s">
        <v>793</v>
      </c>
      <c r="B45" s="240">
        <f>SUM(Asignación!K111)</f>
        <v>50000000</v>
      </c>
      <c r="C45" s="240">
        <f>SUM(SEGUIMIENTO!J123)</f>
        <v>36096024</v>
      </c>
      <c r="D45" s="240">
        <f t="shared" si="33"/>
        <v>13903976</v>
      </c>
      <c r="E45" s="274" t="s">
        <v>793</v>
      </c>
      <c r="F45" s="275">
        <f t="shared" si="36"/>
        <v>0.72192047999999998</v>
      </c>
      <c r="H45" s="328" t="s">
        <v>793</v>
      </c>
      <c r="I45" s="240">
        <f>BIENESTAR!R13</f>
        <v>50000000</v>
      </c>
      <c r="J45" s="240">
        <f>BIENESTAR!S13</f>
        <v>36096024</v>
      </c>
      <c r="K45" s="240">
        <f t="shared" si="34"/>
        <v>13903976</v>
      </c>
      <c r="L45" s="296" t="s">
        <v>793</v>
      </c>
      <c r="M45" s="300">
        <f t="shared" si="37"/>
        <v>0.72192047999999998</v>
      </c>
      <c r="N45" s="300">
        <f>BIENESTAR!B33</f>
        <v>0.15509999999999999</v>
      </c>
      <c r="O45" s="317">
        <f t="shared" si="38"/>
        <v>0.43851024</v>
      </c>
      <c r="Q45" s="328" t="s">
        <v>793</v>
      </c>
      <c r="R45" s="240">
        <f>SEGUIMIENTO!AK123</f>
        <v>50000000</v>
      </c>
      <c r="S45" s="240">
        <f>SEGUIMIENTO!AL123</f>
        <v>37538476</v>
      </c>
      <c r="T45" s="240">
        <f t="shared" si="35"/>
        <v>12461524</v>
      </c>
      <c r="U45" s="339" t="s">
        <v>793</v>
      </c>
      <c r="V45" s="367">
        <f t="shared" si="39"/>
        <v>0.75076951999999997</v>
      </c>
      <c r="W45" s="367">
        <f>BIENESTAR!B66</f>
        <v>0</v>
      </c>
      <c r="X45" s="367">
        <f t="shared" si="40"/>
        <v>0.37538475999999998</v>
      </c>
    </row>
    <row r="46" spans="1:24" ht="15.75" thickBot="1" x14ac:dyDescent="0.3">
      <c r="A46" s="231" t="s">
        <v>754</v>
      </c>
      <c r="B46" s="245">
        <f>SUM(B40:B45)</f>
        <v>2912307794</v>
      </c>
      <c r="C46" s="245">
        <f t="shared" ref="C46:D46" si="41">SUM(C40:C45)</f>
        <v>1989545885</v>
      </c>
      <c r="D46" s="245">
        <f t="shared" si="41"/>
        <v>922761909</v>
      </c>
      <c r="F46" s="275">
        <f>AVERAGE(F40:F45)</f>
        <v>0.49002124870385927</v>
      </c>
      <c r="H46" s="323" t="s">
        <v>754</v>
      </c>
      <c r="I46" s="324">
        <f>SUM(I40:I45)</f>
        <v>2943626679</v>
      </c>
      <c r="J46" s="324">
        <f t="shared" ref="J46:K46" si="42">SUM(J40:J45)</f>
        <v>1486002220</v>
      </c>
      <c r="K46" s="324">
        <f t="shared" si="42"/>
        <v>1457624459</v>
      </c>
      <c r="L46" s="325"/>
      <c r="M46" s="326">
        <f>AVERAGE(M40:M45)</f>
        <v>0.58391584321099044</v>
      </c>
      <c r="N46" s="326">
        <f>AVERAGE(N40:N45)</f>
        <v>0.75600873015873027</v>
      </c>
      <c r="O46" s="327">
        <f>AVERAGE(O40:O45)</f>
        <v>0.66996228668486024</v>
      </c>
      <c r="Q46" s="323" t="s">
        <v>754</v>
      </c>
      <c r="R46" s="324">
        <f>SUM(R40:R45)</f>
        <v>3060839833</v>
      </c>
      <c r="S46" s="324">
        <f t="shared" ref="S46:T46" si="43">SUM(S40:S45)</f>
        <v>2516376726</v>
      </c>
      <c r="T46" s="324">
        <f t="shared" si="43"/>
        <v>544463107</v>
      </c>
      <c r="U46" s="325"/>
      <c r="V46" s="367">
        <f>AVERAGE(V40:V45)</f>
        <v>0.82884984179955767</v>
      </c>
      <c r="W46" s="367">
        <f>AVERAGE(W40:W45)</f>
        <v>0.61904761904761907</v>
      </c>
      <c r="X46" s="367">
        <f>AVERAGE(X40:X45)</f>
        <v>0.72394873042358843</v>
      </c>
    </row>
    <row r="48" spans="1:24" x14ac:dyDescent="0.25">
      <c r="A48" s="631" t="s">
        <v>794</v>
      </c>
      <c r="B48" s="631"/>
      <c r="C48" s="631"/>
      <c r="D48" s="631"/>
      <c r="H48" s="631" t="s">
        <v>841</v>
      </c>
      <c r="I48" s="631"/>
      <c r="J48" s="631"/>
      <c r="K48" s="631"/>
      <c r="Q48" s="631" t="s">
        <v>846</v>
      </c>
      <c r="R48" s="631"/>
      <c r="S48" s="631"/>
      <c r="T48" s="631"/>
    </row>
    <row r="49" spans="1:24" x14ac:dyDescent="0.25">
      <c r="A49" s="231" t="s">
        <v>750</v>
      </c>
      <c r="B49" s="231" t="s">
        <v>751</v>
      </c>
      <c r="C49" s="231" t="s">
        <v>752</v>
      </c>
      <c r="D49" s="231" t="s">
        <v>753</v>
      </c>
      <c r="E49" s="276" t="s">
        <v>750</v>
      </c>
      <c r="F49" s="291" t="s">
        <v>5</v>
      </c>
      <c r="H49" s="250" t="s">
        <v>750</v>
      </c>
      <c r="I49" s="250" t="s">
        <v>751</v>
      </c>
      <c r="J49" s="250" t="s">
        <v>752</v>
      </c>
      <c r="K49" s="250" t="s">
        <v>753</v>
      </c>
      <c r="L49" s="276" t="s">
        <v>750</v>
      </c>
      <c r="M49" s="291" t="s">
        <v>5</v>
      </c>
      <c r="N49" s="291" t="s">
        <v>6</v>
      </c>
      <c r="O49" s="291" t="s">
        <v>7</v>
      </c>
      <c r="Q49" s="355" t="s">
        <v>750</v>
      </c>
      <c r="R49" s="355" t="s">
        <v>751</v>
      </c>
      <c r="S49" s="355" t="s">
        <v>752</v>
      </c>
      <c r="T49" s="355" t="s">
        <v>753</v>
      </c>
      <c r="U49" s="355" t="s">
        <v>750</v>
      </c>
      <c r="V49" s="291" t="s">
        <v>5</v>
      </c>
      <c r="W49" s="291" t="s">
        <v>6</v>
      </c>
      <c r="X49" s="291" t="s">
        <v>7</v>
      </c>
    </row>
    <row r="50" spans="1:24" x14ac:dyDescent="0.25">
      <c r="A50" s="284"/>
      <c r="B50" s="284"/>
      <c r="C50" s="284"/>
      <c r="D50" s="284"/>
      <c r="E50" s="284"/>
      <c r="F50" s="275"/>
      <c r="G50" s="283"/>
      <c r="H50" s="286" t="s">
        <v>795</v>
      </c>
      <c r="I50" s="240">
        <f>ADMINISTRATIVO!P8</f>
        <v>2262901424</v>
      </c>
      <c r="J50" s="240">
        <f>ADMINISTRATIVO!Q8</f>
        <v>597997393</v>
      </c>
      <c r="K50" s="240">
        <f t="shared" ref="K50:K55" si="44">I50-J50</f>
        <v>1664904031</v>
      </c>
      <c r="L50" s="284" t="str">
        <f>H50</f>
        <v>SA-PY2a</v>
      </c>
      <c r="M50" s="275">
        <f>J50/I50</f>
        <v>0.26426135343666651</v>
      </c>
      <c r="N50" s="287">
        <f>ADMINISTRATIVO!B32</f>
        <v>0.20454545454545456</v>
      </c>
      <c r="O50" s="287">
        <f>(M50+N50)/2</f>
        <v>0.23440340399106052</v>
      </c>
      <c r="Q50" s="339" t="s">
        <v>795</v>
      </c>
      <c r="R50" s="240">
        <f>SUM(SEGUIMIENTO!AK125:AK130)</f>
        <v>1999467327</v>
      </c>
      <c r="S50" s="240">
        <f>SUM(SEGUIMIENTO!AL125:AL130)</f>
        <v>914647873</v>
      </c>
      <c r="T50" s="240">
        <f t="shared" ref="T50:T55" si="45">R50-S50</f>
        <v>1084819454</v>
      </c>
      <c r="U50" s="284" t="str">
        <f>Q50</f>
        <v>SA-PY2a</v>
      </c>
      <c r="V50" s="367">
        <f>S50/R50</f>
        <v>0.45744577100558942</v>
      </c>
      <c r="W50" s="367">
        <f>ADMINISTRATIVO!B68</f>
        <v>0</v>
      </c>
      <c r="X50" s="367">
        <f>(V50+W50)/2</f>
        <v>0.22872288550279471</v>
      </c>
    </row>
    <row r="51" spans="1:24" x14ac:dyDescent="0.25">
      <c r="A51" s="228" t="s">
        <v>795</v>
      </c>
      <c r="B51" s="240">
        <f>SUM(Asignación!K114:K116)</f>
        <v>2075119028</v>
      </c>
      <c r="C51" s="240">
        <f>SUM(SEGUIMIENTO!J128:J130)</f>
        <v>193491810</v>
      </c>
      <c r="D51" s="240">
        <f t="shared" ref="D51:D56" si="46">B51-C51</f>
        <v>1881627218</v>
      </c>
      <c r="E51" s="274" t="s">
        <v>795</v>
      </c>
      <c r="F51" s="275">
        <f t="shared" ref="F51:F56" si="47">C51/B51</f>
        <v>9.3243716331051829E-2</v>
      </c>
      <c r="H51" s="286" t="s">
        <v>796</v>
      </c>
      <c r="I51" s="240">
        <f>ADMINISTRATIVO!P9</f>
        <v>3637298707</v>
      </c>
      <c r="J51" s="240">
        <f>ADMINISTRATIVO!Q9</f>
        <v>1584683753</v>
      </c>
      <c r="K51" s="240">
        <f t="shared" si="44"/>
        <v>2052614954</v>
      </c>
      <c r="L51" s="274" t="s">
        <v>795</v>
      </c>
      <c r="M51" s="275">
        <f t="shared" ref="M51:M55" si="48">J51/I51</f>
        <v>0.43567600042038562</v>
      </c>
      <c r="N51" s="287">
        <f>ADMINISTRATIVO!B33</f>
        <v>1</v>
      </c>
      <c r="O51" s="287">
        <f t="shared" ref="O51:O55" si="49">(M51+N51)/2</f>
        <v>0.71783800021019284</v>
      </c>
      <c r="Q51" s="339" t="s">
        <v>796</v>
      </c>
      <c r="R51" s="240">
        <f>SUM(SEGUIMIENTO!AK131:AK137)</f>
        <v>3737298707</v>
      </c>
      <c r="S51" s="240">
        <f>SUM(SEGUIMIENTO!AL131:AL137)</f>
        <v>2352191064</v>
      </c>
      <c r="T51" s="240">
        <f t="shared" si="45"/>
        <v>1385107643</v>
      </c>
      <c r="U51" s="339" t="s">
        <v>795</v>
      </c>
      <c r="V51" s="367">
        <f t="shared" ref="V51:V55" si="50">S51/R51</f>
        <v>0.62938267674305004</v>
      </c>
      <c r="W51" s="367">
        <f>ADMINISTRATIVO!B69</f>
        <v>0</v>
      </c>
      <c r="X51" s="367">
        <f t="shared" ref="X51:X55" si="51">(V51+W51)/2</f>
        <v>0.31469133837152502</v>
      </c>
    </row>
    <row r="52" spans="1:24" x14ac:dyDescent="0.25">
      <c r="A52" s="228" t="s">
        <v>796</v>
      </c>
      <c r="B52" s="240">
        <f>SUM(Asignación!K117:K123)</f>
        <v>2889358754</v>
      </c>
      <c r="C52" s="240">
        <f>SUM(SEGUIMIENTO!J131:J137)</f>
        <v>826802817</v>
      </c>
      <c r="D52" s="240">
        <f t="shared" si="46"/>
        <v>2062555937</v>
      </c>
      <c r="E52" s="274" t="s">
        <v>796</v>
      </c>
      <c r="F52" s="275">
        <f t="shared" si="47"/>
        <v>0.28615443335147711</v>
      </c>
      <c r="H52" s="286" t="s">
        <v>797</v>
      </c>
      <c r="I52" s="240">
        <f>ADMINISTRATIVO!P10</f>
        <v>549305214</v>
      </c>
      <c r="J52" s="240">
        <f>ADMINISTRATIVO!Q10</f>
        <v>449606837</v>
      </c>
      <c r="K52" s="240">
        <f t="shared" si="44"/>
        <v>99698377</v>
      </c>
      <c r="L52" s="274" t="s">
        <v>796</v>
      </c>
      <c r="M52" s="275">
        <f t="shared" si="48"/>
        <v>0.81850094545070162</v>
      </c>
      <c r="N52" s="287">
        <f>ADMINISTRATIVO!B34</f>
        <v>1</v>
      </c>
      <c r="O52" s="287">
        <f t="shared" si="49"/>
        <v>0.90925047272535076</v>
      </c>
      <c r="Q52" s="339" t="s">
        <v>797</v>
      </c>
      <c r="R52" s="240">
        <f>SEGUIMIENTO!AK138</f>
        <v>99698377</v>
      </c>
      <c r="S52" s="240">
        <f>SEGUIMIENTO!AL138</f>
        <v>99698377</v>
      </c>
      <c r="T52" s="240">
        <f t="shared" si="45"/>
        <v>0</v>
      </c>
      <c r="U52" s="339" t="s">
        <v>796</v>
      </c>
      <c r="V52" s="367">
        <f t="shared" si="50"/>
        <v>1</v>
      </c>
      <c r="W52" s="367">
        <f>ADMINISTRATIVO!B70</f>
        <v>0</v>
      </c>
      <c r="X52" s="367">
        <f t="shared" si="51"/>
        <v>0.5</v>
      </c>
    </row>
    <row r="53" spans="1:24" x14ac:dyDescent="0.25">
      <c r="A53" s="228" t="s">
        <v>797</v>
      </c>
      <c r="B53" s="240">
        <f>SUM(Asignación!K124)</f>
        <v>700456632</v>
      </c>
      <c r="C53" s="240">
        <f>SUM(SEGUIMIENTO!J138)</f>
        <v>207998915</v>
      </c>
      <c r="D53" s="240">
        <f t="shared" si="46"/>
        <v>492457717</v>
      </c>
      <c r="E53" s="274" t="s">
        <v>797</v>
      </c>
      <c r="F53" s="275">
        <f t="shared" si="47"/>
        <v>0.29694759889146144</v>
      </c>
      <c r="H53" s="286" t="s">
        <v>798</v>
      </c>
      <c r="I53" s="240">
        <f>ADMINISTRATIVO!P11</f>
        <v>254238283</v>
      </c>
      <c r="J53" s="240">
        <f>ADMINISTRATIVO!Q11</f>
        <v>226166196</v>
      </c>
      <c r="K53" s="240">
        <f t="shared" si="44"/>
        <v>28072087</v>
      </c>
      <c r="L53" s="274" t="s">
        <v>797</v>
      </c>
      <c r="M53" s="275">
        <f t="shared" si="48"/>
        <v>0.88958355654093213</v>
      </c>
      <c r="N53" s="287">
        <f>ADMINISTRATIVO!B35</f>
        <v>1</v>
      </c>
      <c r="O53" s="287">
        <f t="shared" si="49"/>
        <v>0.94479177827046601</v>
      </c>
      <c r="Q53" s="339" t="s">
        <v>798</v>
      </c>
      <c r="R53" s="240">
        <f>SUM(SEGUIMIENTO!AK139:AK142)</f>
        <v>280954283</v>
      </c>
      <c r="S53" s="240">
        <f>SUM(SEGUIMIENTO!AL139:AL142)</f>
        <v>256412778</v>
      </c>
      <c r="T53" s="240">
        <f t="shared" si="45"/>
        <v>24541505</v>
      </c>
      <c r="U53" s="339" t="s">
        <v>797</v>
      </c>
      <c r="V53" s="367">
        <f t="shared" si="50"/>
        <v>0.91264947187154999</v>
      </c>
      <c r="W53" s="367">
        <f>ADMINISTRATIVO!B71</f>
        <v>0</v>
      </c>
      <c r="X53" s="367">
        <f t="shared" si="51"/>
        <v>0.45632473593577499</v>
      </c>
    </row>
    <row r="54" spans="1:24" x14ac:dyDescent="0.25">
      <c r="A54" s="228" t="s">
        <v>798</v>
      </c>
      <c r="B54" s="240">
        <f>SUM(Asignación!K125:K128)</f>
        <v>282954283</v>
      </c>
      <c r="C54" s="240">
        <f>SUM(SEGUIMIENTO!J139:J142)</f>
        <v>112964534</v>
      </c>
      <c r="D54" s="240">
        <f t="shared" si="46"/>
        <v>169989749</v>
      </c>
      <c r="E54" s="274" t="s">
        <v>798</v>
      </c>
      <c r="F54" s="275">
        <f t="shared" si="47"/>
        <v>0.39923245834027543</v>
      </c>
      <c r="H54" s="286" t="s">
        <v>799</v>
      </c>
      <c r="I54" s="240">
        <f>ADMINISTRATIVO!P12</f>
        <v>0</v>
      </c>
      <c r="J54" s="240">
        <f>ADMINISTRATIVO!Q12</f>
        <v>0</v>
      </c>
      <c r="K54" s="240">
        <f t="shared" si="44"/>
        <v>0</v>
      </c>
      <c r="L54" s="274" t="s">
        <v>798</v>
      </c>
      <c r="M54" s="275" t="e">
        <f t="shared" si="48"/>
        <v>#DIV/0!</v>
      </c>
      <c r="N54" s="287">
        <f>ADMINISTRATIVO!B36</f>
        <v>0.66666666666666674</v>
      </c>
      <c r="O54" s="287" t="e">
        <f t="shared" si="49"/>
        <v>#DIV/0!</v>
      </c>
      <c r="Q54" s="339" t="s">
        <v>799</v>
      </c>
      <c r="R54" s="240">
        <f>SEGUIMIENTO!AK143</f>
        <v>0</v>
      </c>
      <c r="S54" s="240">
        <f>SEGUIMIENTO!AL143</f>
        <v>0</v>
      </c>
      <c r="T54" s="240">
        <f t="shared" si="45"/>
        <v>0</v>
      </c>
      <c r="U54" s="339" t="s">
        <v>798</v>
      </c>
      <c r="V54" s="367" t="e">
        <f t="shared" si="50"/>
        <v>#DIV/0!</v>
      </c>
      <c r="W54" s="367">
        <f>ADMINISTRATIVO!B72</f>
        <v>0</v>
      </c>
      <c r="X54" s="367" t="e">
        <f t="shared" si="51"/>
        <v>#DIV/0!</v>
      </c>
    </row>
    <row r="55" spans="1:24" x14ac:dyDescent="0.25">
      <c r="A55" s="228" t="s">
        <v>799</v>
      </c>
      <c r="B55" s="240">
        <f>SUM(Asignación!K129)</f>
        <v>50000000</v>
      </c>
      <c r="C55" s="240">
        <f>SEGUIMIENTO!J143</f>
        <v>50000000</v>
      </c>
      <c r="D55" s="240">
        <f t="shared" si="46"/>
        <v>0</v>
      </c>
      <c r="E55" s="274" t="s">
        <v>799</v>
      </c>
      <c r="F55" s="275">
        <f t="shared" si="47"/>
        <v>1</v>
      </c>
      <c r="H55" s="286" t="s">
        <v>800</v>
      </c>
      <c r="I55" s="240">
        <f>ADMINISTRATIVO!P13</f>
        <v>215500000</v>
      </c>
      <c r="J55" s="240">
        <f>ADMINISTRATIVO!Q13</f>
        <v>109249010</v>
      </c>
      <c r="K55" s="240">
        <f t="shared" si="44"/>
        <v>106250990</v>
      </c>
      <c r="L55" s="274" t="s">
        <v>799</v>
      </c>
      <c r="M55" s="275">
        <f t="shared" si="48"/>
        <v>0.50695596287703015</v>
      </c>
      <c r="N55" s="287">
        <f>ADMINISTRATIVO!B37</f>
        <v>0</v>
      </c>
      <c r="O55" s="287">
        <f t="shared" si="49"/>
        <v>0.25347798143851508</v>
      </c>
      <c r="Q55" s="339" t="s">
        <v>800</v>
      </c>
      <c r="R55" s="240">
        <f>SEGUIMIENTO!AK144</f>
        <v>215500000</v>
      </c>
      <c r="S55" s="240">
        <f>SEGUIMIENTO!AL144</f>
        <v>172865537</v>
      </c>
      <c r="T55" s="240">
        <f t="shared" si="45"/>
        <v>42634463</v>
      </c>
      <c r="U55" s="339" t="s">
        <v>799</v>
      </c>
      <c r="V55" s="367">
        <f t="shared" si="50"/>
        <v>0.80216026450116007</v>
      </c>
      <c r="W55" s="367">
        <f>ADMINISTRATIVO!B73</f>
        <v>0</v>
      </c>
      <c r="X55" s="367">
        <f t="shared" si="51"/>
        <v>0.40108013225058003</v>
      </c>
    </row>
    <row r="56" spans="1:24" x14ac:dyDescent="0.25">
      <c r="A56" s="228" t="s">
        <v>800</v>
      </c>
      <c r="B56" s="240">
        <f>SUM(Asignación!K130)</f>
        <v>217000000</v>
      </c>
      <c r="C56" s="240">
        <f>SEGUIMIENTO!J144</f>
        <v>109249010</v>
      </c>
      <c r="D56" s="240">
        <f t="shared" si="46"/>
        <v>107750990</v>
      </c>
      <c r="E56" s="274" t="s">
        <v>800</v>
      </c>
      <c r="F56" s="275">
        <f t="shared" si="47"/>
        <v>0.50345165898617517</v>
      </c>
      <c r="H56" s="250" t="s">
        <v>728</v>
      </c>
      <c r="I56" s="245">
        <f>SUM(I50:I55)</f>
        <v>6919243628</v>
      </c>
      <c r="J56" s="245">
        <f>SUM(J50:J55)</f>
        <v>2967703189</v>
      </c>
      <c r="K56" s="245">
        <f>SUM(K50:K55)</f>
        <v>3951540439</v>
      </c>
      <c r="M56" s="275" t="e">
        <f>AVERAGE(M50:M55)</f>
        <v>#DIV/0!</v>
      </c>
      <c r="N56" s="287">
        <f>AVERAGE(N50:N55)</f>
        <v>0.64520202020202022</v>
      </c>
      <c r="O56" s="287" t="e">
        <f>AVERAGE(O50:O55)</f>
        <v>#DIV/0!</v>
      </c>
      <c r="Q56" s="355" t="s">
        <v>728</v>
      </c>
      <c r="R56" s="245">
        <f>SUM(R50:R55)</f>
        <v>6332918694</v>
      </c>
      <c r="S56" s="245">
        <f>SUM(S50:S55)</f>
        <v>3795815629</v>
      </c>
      <c r="T56" s="245">
        <f>SUM(T50:T55)</f>
        <v>2537103065</v>
      </c>
      <c r="V56" s="367" t="e">
        <f>AVERAGE(V50:V55)</f>
        <v>#DIV/0!</v>
      </c>
      <c r="W56" s="367">
        <f>AVERAGE(W50:W55)</f>
        <v>0</v>
      </c>
      <c r="X56" s="367" t="e">
        <f>AVERAGE(X50:X55)</f>
        <v>#DIV/0!</v>
      </c>
    </row>
    <row r="57" spans="1:24" x14ac:dyDescent="0.25">
      <c r="A57" s="231" t="s">
        <v>754</v>
      </c>
      <c r="B57" s="245">
        <f>SUM(B51:B56)</f>
        <v>6214888697</v>
      </c>
      <c r="C57" s="245">
        <f>SUM(C51:C56)</f>
        <v>1500507086</v>
      </c>
      <c r="D57" s="245">
        <f>SUM(D51:D56)</f>
        <v>4714381611</v>
      </c>
      <c r="F57" s="275">
        <f>AVERAGE(F51:F56)</f>
        <v>0.4298383109834068</v>
      </c>
    </row>
    <row r="58" spans="1:24" x14ac:dyDescent="0.25">
      <c r="I58" s="67"/>
      <c r="R58" s="67"/>
    </row>
    <row r="59" spans="1:24" ht="15.75" thickBot="1" x14ac:dyDescent="0.3">
      <c r="A59" s="631" t="s">
        <v>794</v>
      </c>
      <c r="B59" s="631"/>
      <c r="C59" s="631"/>
      <c r="D59" s="631"/>
      <c r="H59" s="632" t="s">
        <v>837</v>
      </c>
      <c r="I59" s="632"/>
      <c r="J59" s="632"/>
      <c r="K59" s="632"/>
      <c r="Q59" s="632" t="s">
        <v>847</v>
      </c>
      <c r="R59" s="632"/>
      <c r="S59" s="632"/>
      <c r="T59" s="632"/>
    </row>
    <row r="60" spans="1:24" x14ac:dyDescent="0.25">
      <c r="A60" s="269" t="s">
        <v>808</v>
      </c>
      <c r="B60" s="269" t="s">
        <v>751</v>
      </c>
      <c r="C60" s="269" t="s">
        <v>752</v>
      </c>
      <c r="D60" s="269" t="s">
        <v>753</v>
      </c>
      <c r="E60" s="276" t="s">
        <v>750</v>
      </c>
      <c r="F60" s="291" t="s">
        <v>5</v>
      </c>
      <c r="H60" s="313" t="s">
        <v>750</v>
      </c>
      <c r="I60" s="314" t="s">
        <v>751</v>
      </c>
      <c r="J60" s="314" t="s">
        <v>752</v>
      </c>
      <c r="K60" s="314" t="s">
        <v>753</v>
      </c>
      <c r="L60" s="314" t="s">
        <v>750</v>
      </c>
      <c r="M60" s="314" t="s">
        <v>5</v>
      </c>
      <c r="N60" s="314" t="s">
        <v>6</v>
      </c>
      <c r="O60" s="315" t="s">
        <v>7</v>
      </c>
      <c r="Q60" s="313" t="s">
        <v>750</v>
      </c>
      <c r="R60" s="314" t="s">
        <v>751</v>
      </c>
      <c r="S60" s="314" t="s">
        <v>752</v>
      </c>
      <c r="T60" s="314" t="s">
        <v>753</v>
      </c>
      <c r="U60" s="314" t="s">
        <v>750</v>
      </c>
      <c r="V60" s="314" t="s">
        <v>5</v>
      </c>
      <c r="W60" s="314" t="s">
        <v>6</v>
      </c>
      <c r="X60" s="315" t="s">
        <v>7</v>
      </c>
    </row>
    <row r="61" spans="1:24" x14ac:dyDescent="0.25">
      <c r="A61" s="7" t="s">
        <v>809</v>
      </c>
      <c r="B61" s="240">
        <f>B10</f>
        <v>1730258531</v>
      </c>
      <c r="C61" s="240" t="e">
        <f t="shared" ref="C61:D61" si="52">C10</f>
        <v>#REF!</v>
      </c>
      <c r="D61" s="240" t="e">
        <f t="shared" si="52"/>
        <v>#REF!</v>
      </c>
      <c r="E61" s="7" t="s">
        <v>809</v>
      </c>
      <c r="F61" s="275" t="e">
        <f>C61/B61</f>
        <v>#REF!</v>
      </c>
      <c r="H61" s="316" t="s">
        <v>21</v>
      </c>
      <c r="I61" s="240" t="e">
        <f>I10</f>
        <v>#REF!</v>
      </c>
      <c r="J61" s="240" t="e">
        <f>J10</f>
        <v>#REF!</v>
      </c>
      <c r="K61" s="240" t="e">
        <f t="shared" ref="K61" si="53">K10</f>
        <v>#REF!</v>
      </c>
      <c r="L61" s="7" t="s">
        <v>809</v>
      </c>
      <c r="M61" s="300" t="e">
        <f>M10</f>
        <v>#REF!</v>
      </c>
      <c r="N61" s="300" t="e">
        <f>N10</f>
        <v>#DIV/0!</v>
      </c>
      <c r="O61" s="317" t="e">
        <f>O10</f>
        <v>#REF!</v>
      </c>
      <c r="Q61" s="316" t="s">
        <v>21</v>
      </c>
      <c r="R61" s="240" t="e">
        <f>R10</f>
        <v>#REF!</v>
      </c>
      <c r="S61" s="240" t="e">
        <f>S10</f>
        <v>#REF!</v>
      </c>
      <c r="T61" s="240" t="e">
        <f t="shared" ref="T61" si="54">T10</f>
        <v>#REF!</v>
      </c>
      <c r="U61" s="7" t="s">
        <v>809</v>
      </c>
      <c r="V61" s="367" t="e">
        <f>V10</f>
        <v>#REF!</v>
      </c>
      <c r="W61" s="367" t="e">
        <f>W10</f>
        <v>#DIV/0!</v>
      </c>
      <c r="X61" s="367" t="e">
        <f>X10</f>
        <v>#REF!</v>
      </c>
    </row>
    <row r="62" spans="1:24" x14ac:dyDescent="0.25">
      <c r="A62" s="7" t="s">
        <v>810</v>
      </c>
      <c r="B62" s="240">
        <f>B23</f>
        <v>6782038629</v>
      </c>
      <c r="C62" s="240">
        <f t="shared" ref="C62:D62" si="55">C23</f>
        <v>1613550876</v>
      </c>
      <c r="D62" s="240">
        <f t="shared" si="55"/>
        <v>5168487753</v>
      </c>
      <c r="E62" s="7" t="s">
        <v>810</v>
      </c>
      <c r="F62" s="275">
        <f t="shared" ref="F62:F65" si="56">C62/B62</f>
        <v>0.23791531783680142</v>
      </c>
      <c r="H62" s="316" t="s">
        <v>85</v>
      </c>
      <c r="I62" s="240">
        <f>I23</f>
        <v>7127077871</v>
      </c>
      <c r="J62" s="240">
        <f>J23</f>
        <v>3075142429</v>
      </c>
      <c r="K62" s="240">
        <f t="shared" ref="K62" si="57">K23</f>
        <v>4051935442</v>
      </c>
      <c r="L62" s="7" t="s">
        <v>810</v>
      </c>
      <c r="M62" s="300">
        <f>M23</f>
        <v>0.35874588497640852</v>
      </c>
      <c r="N62" s="300">
        <f>N23</f>
        <v>0.61728395061728392</v>
      </c>
      <c r="O62" s="317">
        <f>O23</f>
        <v>0.48801491779684625</v>
      </c>
      <c r="Q62" s="316" t="s">
        <v>85</v>
      </c>
      <c r="R62" s="240">
        <f>R23</f>
        <v>7127077871</v>
      </c>
      <c r="S62" s="240">
        <f>S23</f>
        <v>5153369682</v>
      </c>
      <c r="T62" s="240">
        <f t="shared" ref="T62" si="58">T23</f>
        <v>1973708189</v>
      </c>
      <c r="U62" s="7" t="s">
        <v>810</v>
      </c>
      <c r="V62" s="367">
        <f>V23</f>
        <v>0.60503359077358487</v>
      </c>
      <c r="W62" s="367">
        <f>W23</f>
        <v>0.44753086419753096</v>
      </c>
      <c r="X62" s="367">
        <f>X23</f>
        <v>0.52628222748555786</v>
      </c>
    </row>
    <row r="63" spans="1:24" x14ac:dyDescent="0.25">
      <c r="A63" s="7" t="s">
        <v>811</v>
      </c>
      <c r="B63" s="240">
        <f>B35</f>
        <v>2077873680</v>
      </c>
      <c r="C63" s="240">
        <f t="shared" ref="C63:D63" si="59">C35</f>
        <v>485984761</v>
      </c>
      <c r="D63" s="240">
        <f t="shared" si="59"/>
        <v>1591888919</v>
      </c>
      <c r="E63" s="7" t="s">
        <v>811</v>
      </c>
      <c r="F63" s="275">
        <f t="shared" si="56"/>
        <v>0.2338856137780233</v>
      </c>
      <c r="H63" s="316" t="s">
        <v>207</v>
      </c>
      <c r="I63" s="240">
        <f>I35</f>
        <v>2432390317</v>
      </c>
      <c r="J63" s="240">
        <f>J35</f>
        <v>1497180182</v>
      </c>
      <c r="K63" s="240">
        <f>K35</f>
        <v>935210135</v>
      </c>
      <c r="L63" s="7" t="s">
        <v>811</v>
      </c>
      <c r="M63" s="300">
        <f>M35</f>
        <v>0.56533370365642788</v>
      </c>
      <c r="N63" s="300">
        <f>N35</f>
        <v>0.58333333333333337</v>
      </c>
      <c r="O63" s="317">
        <f>O35</f>
        <v>0.57433351849488057</v>
      </c>
      <c r="Q63" s="316" t="s">
        <v>207</v>
      </c>
      <c r="R63" s="240">
        <f>R35</f>
        <v>2532390317</v>
      </c>
      <c r="S63" s="240">
        <f>S35</f>
        <v>1993367453</v>
      </c>
      <c r="T63" s="240">
        <f>T35</f>
        <v>539022864</v>
      </c>
      <c r="U63" s="7" t="s">
        <v>811</v>
      </c>
      <c r="V63" s="367">
        <f>V35</f>
        <v>0.72984180266395615</v>
      </c>
      <c r="W63" s="367">
        <f>W35</f>
        <v>0</v>
      </c>
      <c r="X63" s="367">
        <f>X35</f>
        <v>0.36492090133197808</v>
      </c>
    </row>
    <row r="64" spans="1:24" x14ac:dyDescent="0.25">
      <c r="A64" s="7" t="s">
        <v>812</v>
      </c>
      <c r="B64" s="240">
        <f>B46</f>
        <v>2912307794</v>
      </c>
      <c r="C64" s="240">
        <f t="shared" ref="C64:D64" si="60">C46</f>
        <v>1989545885</v>
      </c>
      <c r="D64" s="240">
        <f t="shared" si="60"/>
        <v>922761909</v>
      </c>
      <c r="E64" s="7" t="s">
        <v>812</v>
      </c>
      <c r="F64" s="275">
        <f t="shared" si="56"/>
        <v>0.68315096676900211</v>
      </c>
      <c r="H64" s="316" t="s">
        <v>281</v>
      </c>
      <c r="I64" s="240">
        <f>I46</f>
        <v>2943626679</v>
      </c>
      <c r="J64" s="240">
        <f>J46</f>
        <v>1486002220</v>
      </c>
      <c r="K64" s="240">
        <f t="shared" ref="K64" si="61">K46</f>
        <v>1457624459</v>
      </c>
      <c r="L64" s="7" t="s">
        <v>812</v>
      </c>
      <c r="M64" s="300">
        <f>M46</f>
        <v>0.58391584321099044</v>
      </c>
      <c r="N64" s="300">
        <f>N46</f>
        <v>0.75600873015873027</v>
      </c>
      <c r="O64" s="317">
        <f>O46</f>
        <v>0.66996228668486024</v>
      </c>
      <c r="Q64" s="316" t="s">
        <v>281</v>
      </c>
      <c r="R64" s="240">
        <f>R46</f>
        <v>3060839833</v>
      </c>
      <c r="S64" s="240">
        <f>S46</f>
        <v>2516376726</v>
      </c>
      <c r="T64" s="240">
        <f t="shared" ref="T64" si="62">T46</f>
        <v>544463107</v>
      </c>
      <c r="U64" s="7" t="s">
        <v>812</v>
      </c>
      <c r="V64" s="367">
        <f>V46</f>
        <v>0.82884984179955767</v>
      </c>
      <c r="W64" s="367">
        <f>W46</f>
        <v>0.61904761904761907</v>
      </c>
      <c r="X64" s="367">
        <f>X46</f>
        <v>0.72394873042358843</v>
      </c>
    </row>
    <row r="65" spans="1:24" x14ac:dyDescent="0.25">
      <c r="A65" s="7" t="s">
        <v>813</v>
      </c>
      <c r="B65" s="240">
        <f>B57</f>
        <v>6214888697</v>
      </c>
      <c r="C65" s="240">
        <f t="shared" ref="C65:D65" si="63">C57</f>
        <v>1500507086</v>
      </c>
      <c r="D65" s="240">
        <f t="shared" si="63"/>
        <v>4714381611</v>
      </c>
      <c r="E65" s="7" t="s">
        <v>813</v>
      </c>
      <c r="F65" s="275">
        <f t="shared" si="56"/>
        <v>0.24143748330107867</v>
      </c>
      <c r="H65" s="316" t="s">
        <v>334</v>
      </c>
      <c r="I65" s="240">
        <f>I56</f>
        <v>6919243628</v>
      </c>
      <c r="J65" s="240">
        <f>J56</f>
        <v>2967703189</v>
      </c>
      <c r="K65" s="240">
        <f>K56</f>
        <v>3951540439</v>
      </c>
      <c r="L65" s="7" t="s">
        <v>813</v>
      </c>
      <c r="M65" s="300" t="e">
        <f>M56</f>
        <v>#DIV/0!</v>
      </c>
      <c r="N65" s="300">
        <f>N56</f>
        <v>0.64520202020202022</v>
      </c>
      <c r="O65" s="317" t="e">
        <f>O56</f>
        <v>#DIV/0!</v>
      </c>
      <c r="Q65" s="316" t="s">
        <v>334</v>
      </c>
      <c r="R65" s="240">
        <f>R56</f>
        <v>6332918694</v>
      </c>
      <c r="S65" s="240">
        <f>S56</f>
        <v>3795815629</v>
      </c>
      <c r="T65" s="240">
        <f>T56</f>
        <v>2537103065</v>
      </c>
      <c r="U65" s="7" t="s">
        <v>813</v>
      </c>
      <c r="V65" s="367" t="e">
        <f>V56</f>
        <v>#DIV/0!</v>
      </c>
      <c r="W65" s="367">
        <f>W56</f>
        <v>0</v>
      </c>
      <c r="X65" s="367" t="e">
        <f>X56</f>
        <v>#DIV/0!</v>
      </c>
    </row>
    <row r="66" spans="1:24" ht="15.75" thickBot="1" x14ac:dyDescent="0.3">
      <c r="A66" s="251" t="s">
        <v>754</v>
      </c>
      <c r="B66" s="252">
        <f>SUM(B61:B65)</f>
        <v>19717367331</v>
      </c>
      <c r="C66" s="252" t="e">
        <f t="shared" ref="C66:D66" si="64">SUM(C61:C65)</f>
        <v>#REF!</v>
      </c>
      <c r="D66" s="252" t="e">
        <f t="shared" si="64"/>
        <v>#REF!</v>
      </c>
      <c r="F66" s="275" t="e">
        <f>AVERAGE(F61:F65)</f>
        <v>#REF!</v>
      </c>
      <c r="H66" s="318" t="s">
        <v>728</v>
      </c>
      <c r="I66" s="319" t="e">
        <f>SUM(I61:I65)</f>
        <v>#REF!</v>
      </c>
      <c r="J66" s="319" t="e">
        <f t="shared" ref="J66" si="65">SUM(J61:J65)</f>
        <v>#REF!</v>
      </c>
      <c r="K66" s="319" t="e">
        <f t="shared" ref="K66" si="66">SUM(K61:K65)</f>
        <v>#REF!</v>
      </c>
      <c r="L66" s="320" t="s">
        <v>834</v>
      </c>
      <c r="M66" s="321" t="e">
        <f>AVERAGE(M61:M65)</f>
        <v>#REF!</v>
      </c>
      <c r="N66" s="321" t="e">
        <f t="shared" ref="N66:O66" si="67">AVERAGE(N61:N65)</f>
        <v>#DIV/0!</v>
      </c>
      <c r="O66" s="322" t="e">
        <f t="shared" si="67"/>
        <v>#REF!</v>
      </c>
      <c r="Q66" s="318" t="s">
        <v>728</v>
      </c>
      <c r="R66" s="319" t="e">
        <f>SUM(R61:R65)</f>
        <v>#REF!</v>
      </c>
      <c r="S66" s="319" t="e">
        <f t="shared" ref="S66:T66" si="68">SUM(S61:S65)</f>
        <v>#REF!</v>
      </c>
      <c r="T66" s="319" t="e">
        <f t="shared" si="68"/>
        <v>#REF!</v>
      </c>
      <c r="U66" s="320" t="s">
        <v>834</v>
      </c>
      <c r="V66" s="321" t="e">
        <f>AVERAGE(V61:V65)</f>
        <v>#REF!</v>
      </c>
      <c r="W66" s="321" t="e">
        <f t="shared" ref="W66:X66" si="69">AVERAGE(W61:W65)</f>
        <v>#DIV/0!</v>
      </c>
      <c r="X66" s="322" t="e">
        <f t="shared" si="69"/>
        <v>#REF!</v>
      </c>
    </row>
    <row r="67" spans="1:24" x14ac:dyDescent="0.25">
      <c r="B67" s="67">
        <f>B66-SEGUIMIENTO!I147</f>
        <v>0</v>
      </c>
      <c r="C67" s="67" t="e">
        <f>C66-SEGUIMIENTO!J147</f>
        <v>#REF!</v>
      </c>
      <c r="D67" s="67" t="e">
        <f>D66-SEGUIMIENTO!K147</f>
        <v>#REF!</v>
      </c>
      <c r="E67" s="67"/>
      <c r="F67" s="292"/>
    </row>
  </sheetData>
  <mergeCells count="18">
    <mergeCell ref="Q59:T59"/>
    <mergeCell ref="Q1:T1"/>
    <mergeCell ref="Q12:T12"/>
    <mergeCell ref="Q25:T25"/>
    <mergeCell ref="Q38:T38"/>
    <mergeCell ref="Q48:T48"/>
    <mergeCell ref="A59:D59"/>
    <mergeCell ref="H59:K59"/>
    <mergeCell ref="A48:D48"/>
    <mergeCell ref="A1:D1"/>
    <mergeCell ref="H1:K1"/>
    <mergeCell ref="A12:D12"/>
    <mergeCell ref="A25:D25"/>
    <mergeCell ref="A38:D38"/>
    <mergeCell ref="H12:K12"/>
    <mergeCell ref="H25:K25"/>
    <mergeCell ref="H38:K38"/>
    <mergeCell ref="H48:K48"/>
  </mergeCells>
  <conditionalFormatting sqref="M61:O61 O62:O63 N27:N34">
    <cfRule type="cellIs" dxfId="551" priority="295" operator="greaterThan">
      <formula>50%</formula>
    </cfRule>
    <cfRule type="cellIs" dxfId="550" priority="296" operator="between">
      <formula>37.1%</formula>
      <formula>50%</formula>
    </cfRule>
    <cfRule type="cellIs" dxfId="549" priority="297" operator="between">
      <formula>16%</formula>
      <formula>37%</formula>
    </cfRule>
    <cfRule type="cellIs" dxfId="548" priority="298" operator="lessThan">
      <formula>16%</formula>
    </cfRule>
  </conditionalFormatting>
  <conditionalFormatting sqref="N64:O64 M62:N64">
    <cfRule type="cellIs" dxfId="547" priority="291" operator="greaterThan">
      <formula>50%</formula>
    </cfRule>
    <cfRule type="cellIs" dxfId="546" priority="292" operator="between">
      <formula>37.1%</formula>
      <formula>50%</formula>
    </cfRule>
    <cfRule type="cellIs" dxfId="545" priority="293" operator="between">
      <formula>16%</formula>
      <formula>37%</formula>
    </cfRule>
    <cfRule type="cellIs" dxfId="544" priority="294" operator="lessThan">
      <formula>16%</formula>
    </cfRule>
  </conditionalFormatting>
  <conditionalFormatting sqref="M65:O65">
    <cfRule type="cellIs" dxfId="543" priority="287" operator="greaterThan">
      <formula>50%</formula>
    </cfRule>
    <cfRule type="cellIs" dxfId="542" priority="288" operator="between">
      <formula>37.1%</formula>
      <formula>50%</formula>
    </cfRule>
    <cfRule type="cellIs" dxfId="541" priority="289" operator="between">
      <formula>16%</formula>
      <formula>37%</formula>
    </cfRule>
    <cfRule type="cellIs" dxfId="540" priority="290" operator="lessThan">
      <formula>16%</formula>
    </cfRule>
  </conditionalFormatting>
  <conditionalFormatting sqref="M50:M55 M56:O56">
    <cfRule type="cellIs" dxfId="539" priority="283" operator="greaterThan">
      <formula>50%</formula>
    </cfRule>
    <cfRule type="cellIs" dxfId="538" priority="284" operator="between">
      <formula>37.1%</formula>
      <formula>50%</formula>
    </cfRule>
    <cfRule type="cellIs" dxfId="537" priority="285" operator="between">
      <formula>16%</formula>
      <formula>37%</formula>
    </cfRule>
    <cfRule type="cellIs" dxfId="536" priority="286" operator="lessThan">
      <formula>16%</formula>
    </cfRule>
  </conditionalFormatting>
  <conditionalFormatting sqref="M40:M45">
    <cfRule type="cellIs" dxfId="535" priority="279" operator="greaterThan">
      <formula>50%</formula>
    </cfRule>
    <cfRule type="cellIs" dxfId="534" priority="280" operator="between">
      <formula>37.1%</formula>
      <formula>50%</formula>
    </cfRule>
    <cfRule type="cellIs" dxfId="533" priority="281" operator="between">
      <formula>16%</formula>
      <formula>37%</formula>
    </cfRule>
    <cfRule type="cellIs" dxfId="532" priority="282" operator="lessThan">
      <formula>16%</formula>
    </cfRule>
  </conditionalFormatting>
  <conditionalFormatting sqref="M27:M34">
    <cfRule type="cellIs" dxfId="531" priority="275" operator="greaterThan">
      <formula>50%</formula>
    </cfRule>
    <cfRule type="cellIs" dxfId="530" priority="276" operator="between">
      <formula>37.1%</formula>
      <formula>50%</formula>
    </cfRule>
    <cfRule type="cellIs" dxfId="529" priority="277" operator="between">
      <formula>16%</formula>
      <formula>37%</formula>
    </cfRule>
    <cfRule type="cellIs" dxfId="528" priority="278" operator="lessThan">
      <formula>16%</formula>
    </cfRule>
  </conditionalFormatting>
  <conditionalFormatting sqref="M14:M22">
    <cfRule type="cellIs" dxfId="527" priority="271" operator="greaterThan">
      <formula>50%</formula>
    </cfRule>
    <cfRule type="cellIs" dxfId="526" priority="272" operator="between">
      <formula>37.1%</formula>
      <formula>50%</formula>
    </cfRule>
    <cfRule type="cellIs" dxfId="525" priority="273" operator="between">
      <formula>16%</formula>
      <formula>37%</formula>
    </cfRule>
    <cfRule type="cellIs" dxfId="524" priority="274" operator="lessThan">
      <formula>16%</formula>
    </cfRule>
  </conditionalFormatting>
  <conditionalFormatting sqref="M3:M9">
    <cfRule type="cellIs" dxfId="523" priority="267" operator="greaterThan">
      <formula>50%</formula>
    </cfRule>
    <cfRule type="cellIs" dxfId="522" priority="268" operator="between">
      <formula>37.1%</formula>
      <formula>50%</formula>
    </cfRule>
    <cfRule type="cellIs" dxfId="521" priority="269" operator="between">
      <formula>16%</formula>
      <formula>37%</formula>
    </cfRule>
    <cfRule type="cellIs" dxfId="520" priority="270" operator="lessThan">
      <formula>16%</formula>
    </cfRule>
  </conditionalFormatting>
  <conditionalFormatting sqref="M10:O10">
    <cfRule type="cellIs" dxfId="519" priority="263" operator="greaterThan">
      <formula>50%</formula>
    </cfRule>
    <cfRule type="cellIs" dxfId="518" priority="264" operator="between">
      <formula>37.1%</formula>
      <formula>50%</formula>
    </cfRule>
    <cfRule type="cellIs" dxfId="517" priority="265" operator="between">
      <formula>16%</formula>
      <formula>37%</formula>
    </cfRule>
    <cfRule type="cellIs" dxfId="516" priority="266" operator="lessThan">
      <formula>16%</formula>
    </cfRule>
  </conditionalFormatting>
  <conditionalFormatting sqref="M23:O23">
    <cfRule type="cellIs" dxfId="515" priority="259" operator="greaterThan">
      <formula>50%</formula>
    </cfRule>
    <cfRule type="cellIs" dxfId="514" priority="260" operator="between">
      <formula>37.1%</formula>
      <formula>50%</formula>
    </cfRule>
    <cfRule type="cellIs" dxfId="513" priority="261" operator="between">
      <formula>16%</formula>
      <formula>37%</formula>
    </cfRule>
    <cfRule type="cellIs" dxfId="512" priority="262" operator="lessThan">
      <formula>16%</formula>
    </cfRule>
  </conditionalFormatting>
  <conditionalFormatting sqref="F62:F64">
    <cfRule type="cellIs" dxfId="511" priority="239" operator="greaterThan">
      <formula>50%</formula>
    </cfRule>
    <cfRule type="cellIs" dxfId="510" priority="240" operator="between">
      <formula>37.1%</formula>
      <formula>50%</formula>
    </cfRule>
    <cfRule type="cellIs" dxfId="509" priority="241" operator="between">
      <formula>16%</formula>
      <formula>37%</formula>
    </cfRule>
    <cfRule type="cellIs" dxfId="508" priority="242" operator="lessThan">
      <formula>16%</formula>
    </cfRule>
  </conditionalFormatting>
  <conditionalFormatting sqref="M46:O46">
    <cfRule type="cellIs" dxfId="507" priority="251" operator="greaterThan">
      <formula>50%</formula>
    </cfRule>
    <cfRule type="cellIs" dxfId="506" priority="252" operator="between">
      <formula>37.1%</formula>
      <formula>50%</formula>
    </cfRule>
    <cfRule type="cellIs" dxfId="505" priority="253" operator="between">
      <formula>16%</formula>
      <formula>37%</formula>
    </cfRule>
    <cfRule type="cellIs" dxfId="504" priority="254" operator="lessThan">
      <formula>16%</formula>
    </cfRule>
  </conditionalFormatting>
  <conditionalFormatting sqref="F61">
    <cfRule type="cellIs" dxfId="503" priority="243" operator="greaterThan">
      <formula>50%</formula>
    </cfRule>
    <cfRule type="cellIs" dxfId="502" priority="244" operator="between">
      <formula>37.1%</formula>
      <formula>50%</formula>
    </cfRule>
    <cfRule type="cellIs" dxfId="501" priority="245" operator="between">
      <formula>16%</formula>
      <formula>37%</formula>
    </cfRule>
    <cfRule type="cellIs" dxfId="500" priority="246" operator="lessThan">
      <formula>16%</formula>
    </cfRule>
  </conditionalFormatting>
  <conditionalFormatting sqref="F65">
    <cfRule type="cellIs" dxfId="499" priority="235" operator="greaterThan">
      <formula>50%</formula>
    </cfRule>
    <cfRule type="cellIs" dxfId="498" priority="236" operator="between">
      <formula>37.1%</formula>
      <formula>50%</formula>
    </cfRule>
    <cfRule type="cellIs" dxfId="497" priority="237" operator="between">
      <formula>16%</formula>
      <formula>37%</formula>
    </cfRule>
    <cfRule type="cellIs" dxfId="496" priority="238" operator="lessThan">
      <formula>16%</formula>
    </cfRule>
  </conditionalFormatting>
  <conditionalFormatting sqref="F50:F57">
    <cfRule type="cellIs" dxfId="495" priority="231" operator="greaterThan">
      <formula>50%</formula>
    </cfRule>
    <cfRule type="cellIs" dxfId="494" priority="232" operator="between">
      <formula>37.1%</formula>
      <formula>50%</formula>
    </cfRule>
    <cfRule type="cellIs" dxfId="493" priority="233" operator="between">
      <formula>16%</formula>
      <formula>37%</formula>
    </cfRule>
    <cfRule type="cellIs" dxfId="492" priority="234" operator="lessThan">
      <formula>16%</formula>
    </cfRule>
  </conditionalFormatting>
  <conditionalFormatting sqref="F40:F45">
    <cfRule type="cellIs" dxfId="491" priority="227" operator="greaterThan">
      <formula>50%</formula>
    </cfRule>
    <cfRule type="cellIs" dxfId="490" priority="228" operator="between">
      <formula>37.1%</formula>
      <formula>50%</formula>
    </cfRule>
    <cfRule type="cellIs" dxfId="489" priority="229" operator="between">
      <formula>16%</formula>
      <formula>37%</formula>
    </cfRule>
    <cfRule type="cellIs" dxfId="488" priority="230" operator="lessThan">
      <formula>16%</formula>
    </cfRule>
  </conditionalFormatting>
  <conditionalFormatting sqref="F27:F34">
    <cfRule type="cellIs" dxfId="487" priority="223" operator="greaterThan">
      <formula>50%</formula>
    </cfRule>
    <cfRule type="cellIs" dxfId="486" priority="224" operator="between">
      <formula>37.1%</formula>
      <formula>50%</formula>
    </cfRule>
    <cfRule type="cellIs" dxfId="485" priority="225" operator="between">
      <formula>16%</formula>
      <formula>37%</formula>
    </cfRule>
    <cfRule type="cellIs" dxfId="484" priority="226" operator="lessThan">
      <formula>16%</formula>
    </cfRule>
  </conditionalFormatting>
  <conditionalFormatting sqref="F14:F22">
    <cfRule type="cellIs" dxfId="483" priority="219" operator="greaterThan">
      <formula>50%</formula>
    </cfRule>
    <cfRule type="cellIs" dxfId="482" priority="220" operator="between">
      <formula>37.1%</formula>
      <formula>50%</formula>
    </cfRule>
    <cfRule type="cellIs" dxfId="481" priority="221" operator="between">
      <formula>16%</formula>
      <formula>37%</formula>
    </cfRule>
    <cfRule type="cellIs" dxfId="480" priority="222" operator="lessThan">
      <formula>16%</formula>
    </cfRule>
  </conditionalFormatting>
  <conditionalFormatting sqref="F3:F9">
    <cfRule type="cellIs" dxfId="479" priority="215" operator="greaterThan">
      <formula>50%</formula>
    </cfRule>
    <cfRule type="cellIs" dxfId="478" priority="216" operator="between">
      <formula>37.1%</formula>
      <formula>50%</formula>
    </cfRule>
    <cfRule type="cellIs" dxfId="477" priority="217" operator="between">
      <formula>16%</formula>
      <formula>37%</formula>
    </cfRule>
    <cfRule type="cellIs" dxfId="476" priority="218" operator="lessThan">
      <formula>16%</formula>
    </cfRule>
  </conditionalFormatting>
  <conditionalFormatting sqref="F10">
    <cfRule type="cellIs" dxfId="475" priority="211" operator="greaterThan">
      <formula>50%</formula>
    </cfRule>
    <cfRule type="cellIs" dxfId="474" priority="212" operator="between">
      <formula>37.1%</formula>
      <formula>50%</formula>
    </cfRule>
    <cfRule type="cellIs" dxfId="473" priority="213" operator="between">
      <formula>16%</formula>
      <formula>37%</formula>
    </cfRule>
    <cfRule type="cellIs" dxfId="472" priority="214" operator="lessThan">
      <formula>16%</formula>
    </cfRule>
  </conditionalFormatting>
  <conditionalFormatting sqref="F23">
    <cfRule type="cellIs" dxfId="471" priority="207" operator="greaterThan">
      <formula>50%</formula>
    </cfRule>
    <cfRule type="cellIs" dxfId="470" priority="208" operator="between">
      <formula>37.1%</formula>
      <formula>50%</formula>
    </cfRule>
    <cfRule type="cellIs" dxfId="469" priority="209" operator="between">
      <formula>16%</formula>
      <formula>37%</formula>
    </cfRule>
    <cfRule type="cellIs" dxfId="468" priority="210" operator="lessThan">
      <formula>16%</formula>
    </cfRule>
  </conditionalFormatting>
  <conditionalFormatting sqref="F35">
    <cfRule type="cellIs" dxfId="467" priority="203" operator="greaterThan">
      <formula>50%</formula>
    </cfRule>
    <cfRule type="cellIs" dxfId="466" priority="204" operator="between">
      <formula>37.1%</formula>
      <formula>50%</formula>
    </cfRule>
    <cfRule type="cellIs" dxfId="465" priority="205" operator="between">
      <formula>16%</formula>
      <formula>37%</formula>
    </cfRule>
    <cfRule type="cellIs" dxfId="464" priority="206" operator="lessThan">
      <formula>16%</formula>
    </cfRule>
  </conditionalFormatting>
  <conditionalFormatting sqref="F46">
    <cfRule type="cellIs" dxfId="463" priority="199" operator="greaterThan">
      <formula>50%</formula>
    </cfRule>
    <cfRule type="cellIs" dxfId="462" priority="200" operator="between">
      <formula>37.1%</formula>
      <formula>50%</formula>
    </cfRule>
    <cfRule type="cellIs" dxfId="461" priority="201" operator="between">
      <formula>16%</formula>
      <formula>37%</formula>
    </cfRule>
    <cfRule type="cellIs" dxfId="460" priority="202" operator="lessThan">
      <formula>16%</formula>
    </cfRule>
  </conditionalFormatting>
  <conditionalFormatting sqref="F66">
    <cfRule type="cellIs" dxfId="459" priority="195" operator="greaterThan">
      <formula>50%</formula>
    </cfRule>
    <cfRule type="cellIs" dxfId="458" priority="196" operator="between">
      <formula>37.1%</formula>
      <formula>50%</formula>
    </cfRule>
    <cfRule type="cellIs" dxfId="457" priority="197" operator="between">
      <formula>16%</formula>
      <formula>37%</formula>
    </cfRule>
    <cfRule type="cellIs" dxfId="456" priority="198" operator="lessThan">
      <formula>16%</formula>
    </cfRule>
  </conditionalFormatting>
  <conditionalFormatting sqref="N40">
    <cfRule type="cellIs" dxfId="455" priority="191" operator="greaterThan">
      <formula>50%</formula>
    </cfRule>
    <cfRule type="cellIs" dxfId="454" priority="192" operator="between">
      <formula>37.1%</formula>
      <formula>50%</formula>
    </cfRule>
    <cfRule type="cellIs" dxfId="453" priority="193" operator="between">
      <formula>16%</formula>
      <formula>37%</formula>
    </cfRule>
    <cfRule type="cellIs" dxfId="452" priority="194" operator="lessThan">
      <formula>16%</formula>
    </cfRule>
  </conditionalFormatting>
  <conditionalFormatting sqref="N41:N45">
    <cfRule type="cellIs" dxfId="451" priority="187" operator="greaterThan">
      <formula>50%</formula>
    </cfRule>
    <cfRule type="cellIs" dxfId="450" priority="188" operator="between">
      <formula>37.1%</formula>
      <formula>50%</formula>
    </cfRule>
    <cfRule type="cellIs" dxfId="449" priority="189" operator="between">
      <formula>16%</formula>
      <formula>37%</formula>
    </cfRule>
    <cfRule type="cellIs" dxfId="448" priority="190" operator="lessThan">
      <formula>16%</formula>
    </cfRule>
  </conditionalFormatting>
  <conditionalFormatting sqref="O40">
    <cfRule type="cellIs" dxfId="447" priority="183" operator="greaterThan">
      <formula>50%</formula>
    </cfRule>
    <cfRule type="cellIs" dxfId="446" priority="184" operator="between">
      <formula>37.1%</formula>
      <formula>50%</formula>
    </cfRule>
    <cfRule type="cellIs" dxfId="445" priority="185" operator="between">
      <formula>16%</formula>
      <formula>37%</formula>
    </cfRule>
    <cfRule type="cellIs" dxfId="444" priority="186" operator="lessThan">
      <formula>16%</formula>
    </cfRule>
  </conditionalFormatting>
  <conditionalFormatting sqref="O41:O45">
    <cfRule type="cellIs" dxfId="443" priority="179" operator="greaterThan">
      <formula>50%</formula>
    </cfRule>
    <cfRule type="cellIs" dxfId="442" priority="180" operator="between">
      <formula>37.1%</formula>
      <formula>50%</formula>
    </cfRule>
    <cfRule type="cellIs" dxfId="441" priority="181" operator="between">
      <formula>16%</formula>
      <formula>37%</formula>
    </cfRule>
    <cfRule type="cellIs" dxfId="440" priority="182" operator="lessThan">
      <formula>16%</formula>
    </cfRule>
  </conditionalFormatting>
  <conditionalFormatting sqref="N3:O9">
    <cfRule type="cellIs" dxfId="439" priority="175" operator="greaterThan">
      <formula>50%</formula>
    </cfRule>
    <cfRule type="cellIs" dxfId="438" priority="176" operator="between">
      <formula>37.1%</formula>
      <formula>50%</formula>
    </cfRule>
    <cfRule type="cellIs" dxfId="437" priority="177" operator="between">
      <formula>16%</formula>
      <formula>37%</formula>
    </cfRule>
    <cfRule type="cellIs" dxfId="436" priority="178" operator="lessThan">
      <formula>16%</formula>
    </cfRule>
  </conditionalFormatting>
  <conditionalFormatting sqref="N50:N55">
    <cfRule type="cellIs" dxfId="435" priority="171" operator="greaterThan">
      <formula>50%</formula>
    </cfRule>
    <cfRule type="cellIs" dxfId="434" priority="172" operator="between">
      <formula>37.1%</formula>
      <formula>50%</formula>
    </cfRule>
    <cfRule type="cellIs" dxfId="433" priority="173" operator="between">
      <formula>16%</formula>
      <formula>37%</formula>
    </cfRule>
    <cfRule type="cellIs" dxfId="432" priority="174" operator="lessThan">
      <formula>16%</formula>
    </cfRule>
  </conditionalFormatting>
  <conditionalFormatting sqref="O50:O55">
    <cfRule type="cellIs" dxfId="431" priority="167" operator="greaterThan">
      <formula>50%</formula>
    </cfRule>
    <cfRule type="cellIs" dxfId="430" priority="168" operator="between">
      <formula>37.1%</formula>
      <formula>50%</formula>
    </cfRule>
    <cfRule type="cellIs" dxfId="429" priority="169" operator="between">
      <formula>16%</formula>
      <formula>37%</formula>
    </cfRule>
    <cfRule type="cellIs" dxfId="428" priority="170" operator="lessThan">
      <formula>16%</formula>
    </cfRule>
  </conditionalFormatting>
  <conditionalFormatting sqref="N14:N22">
    <cfRule type="cellIs" dxfId="427" priority="163" operator="greaterThan">
      <formula>50%</formula>
    </cfRule>
    <cfRule type="cellIs" dxfId="426" priority="164" operator="between">
      <formula>37.1%</formula>
      <formula>50%</formula>
    </cfRule>
    <cfRule type="cellIs" dxfId="425" priority="165" operator="between">
      <formula>16%</formula>
      <formula>37%</formula>
    </cfRule>
    <cfRule type="cellIs" dxfId="424" priority="166" operator="lessThan">
      <formula>16%</formula>
    </cfRule>
  </conditionalFormatting>
  <conditionalFormatting sqref="M35:O35">
    <cfRule type="cellIs" dxfId="423" priority="151" operator="greaterThan">
      <formula>50%</formula>
    </cfRule>
    <cfRule type="cellIs" dxfId="422" priority="152" operator="between">
      <formula>37.1%</formula>
      <formula>50%</formula>
    </cfRule>
    <cfRule type="cellIs" dxfId="421" priority="153" operator="between">
      <formula>16%</formula>
      <formula>37%</formula>
    </cfRule>
    <cfRule type="cellIs" dxfId="420" priority="154" operator="lessThan">
      <formula>16%</formula>
    </cfRule>
  </conditionalFormatting>
  <conditionalFormatting sqref="O14:O22">
    <cfRule type="cellIs" dxfId="419" priority="143" operator="greaterThan">
      <formula>50%</formula>
    </cfRule>
    <cfRule type="cellIs" dxfId="418" priority="144" operator="between">
      <formula>37.1%</formula>
      <formula>50%</formula>
    </cfRule>
    <cfRule type="cellIs" dxfId="417" priority="145" operator="between">
      <formula>16%</formula>
      <formula>37%</formula>
    </cfRule>
    <cfRule type="cellIs" dxfId="416" priority="146" operator="lessThan">
      <formula>16%</formula>
    </cfRule>
  </conditionalFormatting>
  <conditionalFormatting sqref="O27:O34">
    <cfRule type="cellIs" dxfId="415" priority="139" operator="greaterThan">
      <formula>50%</formula>
    </cfRule>
    <cfRule type="cellIs" dxfId="414" priority="140" operator="between">
      <formula>37.1%</formula>
      <formula>50%</formula>
    </cfRule>
    <cfRule type="cellIs" dxfId="413" priority="141" operator="between">
      <formula>16%</formula>
      <formula>37%</formula>
    </cfRule>
    <cfRule type="cellIs" dxfId="412" priority="142" operator="lessThan">
      <formula>16%</formula>
    </cfRule>
  </conditionalFormatting>
  <conditionalFormatting sqref="V27:X35">
    <cfRule type="cellIs" dxfId="411" priority="16" operator="equal">
      <formula>0</formula>
    </cfRule>
  </conditionalFormatting>
  <conditionalFormatting sqref="V40:X46">
    <cfRule type="cellIs" dxfId="410" priority="11" operator="equal">
      <formula>0</formula>
    </cfRule>
  </conditionalFormatting>
  <conditionalFormatting sqref="V50:X56">
    <cfRule type="cellIs" dxfId="409" priority="6" operator="equal">
      <formula>0</formula>
    </cfRule>
  </conditionalFormatting>
  <conditionalFormatting sqref="V61:X65">
    <cfRule type="cellIs" dxfId="408" priority="1" operator="equal">
      <formula>0</formula>
    </cfRule>
  </conditionalFormatting>
  <conditionalFormatting sqref="V3:X10">
    <cfRule type="cellIs" dxfId="407" priority="27" operator="greaterThan">
      <formula>74.1%</formula>
    </cfRule>
    <cfRule type="cellIs" dxfId="406" priority="28" operator="between">
      <formula>56.1%</formula>
      <formula>74%</formula>
    </cfRule>
    <cfRule type="cellIs" dxfId="405" priority="29" operator="between">
      <formula>25.1%</formula>
      <formula>56%</formula>
    </cfRule>
    <cfRule type="cellIs" dxfId="404" priority="30" operator="lessThanOrEqual">
      <formula>25%</formula>
    </cfRule>
  </conditionalFormatting>
  <conditionalFormatting sqref="V3:X10">
    <cfRule type="cellIs" dxfId="403" priority="26" operator="equal">
      <formula>0</formula>
    </cfRule>
  </conditionalFormatting>
  <conditionalFormatting sqref="V13:X23">
    <cfRule type="cellIs" dxfId="402" priority="22" operator="greaterThan">
      <formula>74.1%</formula>
    </cfRule>
    <cfRule type="cellIs" dxfId="401" priority="23" operator="between">
      <formula>56.1%</formula>
      <formula>74%</formula>
    </cfRule>
    <cfRule type="cellIs" dxfId="400" priority="24" operator="between">
      <formula>25.1%</formula>
      <formula>56%</formula>
    </cfRule>
    <cfRule type="cellIs" dxfId="399" priority="25" operator="lessThanOrEqual">
      <formula>25%</formula>
    </cfRule>
  </conditionalFormatting>
  <conditionalFormatting sqref="V13:X23">
    <cfRule type="cellIs" dxfId="398" priority="21" operator="equal">
      <formula>0</formula>
    </cfRule>
  </conditionalFormatting>
  <conditionalFormatting sqref="V27:X35">
    <cfRule type="cellIs" dxfId="397" priority="17" operator="greaterThan">
      <formula>74.1%</formula>
    </cfRule>
    <cfRule type="cellIs" dxfId="396" priority="18" operator="between">
      <formula>56.1%</formula>
      <formula>74%</formula>
    </cfRule>
    <cfRule type="cellIs" dxfId="395" priority="19" operator="between">
      <formula>25.1%</formula>
      <formula>56%</formula>
    </cfRule>
    <cfRule type="cellIs" dxfId="394" priority="20" operator="lessThanOrEqual">
      <formula>25%</formula>
    </cfRule>
  </conditionalFormatting>
  <conditionalFormatting sqref="V40:X46">
    <cfRule type="cellIs" dxfId="393" priority="12" operator="greaterThan">
      <formula>74.1%</formula>
    </cfRule>
    <cfRule type="cellIs" dxfId="392" priority="13" operator="between">
      <formula>56.1%</formula>
      <formula>74%</formula>
    </cfRule>
    <cfRule type="cellIs" dxfId="391" priority="14" operator="between">
      <formula>25.1%</formula>
      <formula>56%</formula>
    </cfRule>
    <cfRule type="cellIs" dxfId="390" priority="15" operator="lessThanOrEqual">
      <formula>25%</formula>
    </cfRule>
  </conditionalFormatting>
  <conditionalFormatting sqref="V50:X56">
    <cfRule type="cellIs" dxfId="389" priority="7" operator="greaterThan">
      <formula>74.1%</formula>
    </cfRule>
    <cfRule type="cellIs" dxfId="388" priority="8" operator="between">
      <formula>56.1%</formula>
      <formula>74%</formula>
    </cfRule>
    <cfRule type="cellIs" dxfId="387" priority="9" operator="between">
      <formula>25.1%</formula>
      <formula>56%</formula>
    </cfRule>
    <cfRule type="cellIs" dxfId="386" priority="10" operator="lessThanOrEqual">
      <formula>25%</formula>
    </cfRule>
  </conditionalFormatting>
  <conditionalFormatting sqref="V61:X65">
    <cfRule type="cellIs" dxfId="385" priority="2" operator="greaterThan">
      <formula>74.1%</formula>
    </cfRule>
    <cfRule type="cellIs" dxfId="384" priority="3" operator="between">
      <formula>56.1%</formula>
      <formula>74%</formula>
    </cfRule>
    <cfRule type="cellIs" dxfId="383" priority="4" operator="between">
      <formula>25.1%</formula>
      <formula>56%</formula>
    </cfRule>
    <cfRule type="cellIs" dxfId="382" priority="5" operator="lessThanOrEqual">
      <formula>25%</formula>
    </cfRule>
  </conditionalFormatting>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R74"/>
  <sheetViews>
    <sheetView topLeftCell="A61" workbookViewId="0">
      <selection activeCell="I54" sqref="I54"/>
    </sheetView>
  </sheetViews>
  <sheetFormatPr baseColWidth="10" defaultRowHeight="15" x14ac:dyDescent="0.25"/>
  <cols>
    <col min="1" max="1" width="33.85546875" customWidth="1"/>
    <col min="2" max="2" width="16.140625" customWidth="1"/>
    <col min="4" max="4" width="13" customWidth="1"/>
    <col min="16" max="16" width="12.7109375" bestFit="1" customWidth="1"/>
    <col min="17" max="17" width="16.28515625" customWidth="1"/>
  </cols>
  <sheetData>
    <row r="6" spans="1:18" ht="19.5" x14ac:dyDescent="0.3">
      <c r="A6" s="633" t="s">
        <v>498</v>
      </c>
      <c r="B6" s="633"/>
      <c r="C6" s="633"/>
      <c r="D6" s="633"/>
      <c r="E6" s="633"/>
      <c r="F6" s="633"/>
    </row>
    <row r="7" spans="1:18" ht="45" x14ac:dyDescent="0.25">
      <c r="A7" s="187" t="s">
        <v>489</v>
      </c>
      <c r="B7" s="189" t="s">
        <v>490</v>
      </c>
      <c r="C7" s="187" t="s">
        <v>491</v>
      </c>
      <c r="D7" s="189" t="s">
        <v>492</v>
      </c>
      <c r="E7" s="189" t="s">
        <v>493</v>
      </c>
      <c r="F7" s="189" t="s">
        <v>494</v>
      </c>
      <c r="H7" s="103"/>
      <c r="I7" s="103"/>
      <c r="J7" s="103" t="s">
        <v>710</v>
      </c>
      <c r="K7" s="103" t="s">
        <v>711</v>
      </c>
      <c r="L7" s="103" t="s">
        <v>712</v>
      </c>
      <c r="M7" s="103" t="s">
        <v>713</v>
      </c>
      <c r="N7" s="103" t="s">
        <v>714</v>
      </c>
      <c r="O7" s="103"/>
      <c r="P7" s="190" t="s">
        <v>715</v>
      </c>
      <c r="Q7" s="190" t="s">
        <v>716</v>
      </c>
      <c r="R7" s="103"/>
    </row>
    <row r="8" spans="1:18" ht="15.75" customHeight="1" x14ac:dyDescent="0.25">
      <c r="A8" s="541" t="str">
        <f>'S. ADMINISTRATIVO'!B8:B10</f>
        <v>SA-PY.1 Revisión, reforma y actualización de la plataforma jurídico-normativa institucional</v>
      </c>
      <c r="B8" s="637">
        <v>0.1</v>
      </c>
      <c r="C8" s="1" t="s">
        <v>418</v>
      </c>
      <c r="D8" s="98">
        <f>'S. ADMINISTRATIVO'!AH8</f>
        <v>0</v>
      </c>
      <c r="E8" s="638">
        <f>B8*O8</f>
        <v>2.0454545454545458E-2</v>
      </c>
      <c r="F8" s="634">
        <f>R8</f>
        <v>0.26426135343666651</v>
      </c>
      <c r="H8" s="104" t="str">
        <f t="shared" ref="H8:H25" si="0">IF(D8&lt;16%,"Rojo",IF(D8&lt;37%,"Amarillo",IF(D8&lt;50.1%,"Verde","Azul")))</f>
        <v>Rojo</v>
      </c>
      <c r="I8" s="104" t="s">
        <v>704</v>
      </c>
      <c r="J8" s="104">
        <f>COUNTIF($H$8:$H$10,"Rojo")</f>
        <v>3</v>
      </c>
      <c r="K8" s="104">
        <f>COUNTIF($H$8:$H$10,"Amarillo")</f>
        <v>0</v>
      </c>
      <c r="L8" s="104">
        <f>COUNTIF($H$8:$H$10,"Verde")</f>
        <v>0</v>
      </c>
      <c r="M8" s="104">
        <f>COUNTIF($H$8:$H$10,"Azul")</f>
        <v>0</v>
      </c>
      <c r="N8" s="104">
        <f>SUM(J8:M8)</f>
        <v>3</v>
      </c>
      <c r="O8" s="192">
        <f>'S. ADMINISTRATIVO'!AH12</f>
        <v>0.20454545454545456</v>
      </c>
      <c r="P8" s="191">
        <f>'S. ADMINISTRATIVO'!$W$8+'S. ADMINISTRATIVO'!$W$9+'S. ADMINISTRATIVO'!$W$10+'S. ADMINISTRATIVO'!$W$11+'S. ADMINISTRATIVO'!$W$12</f>
        <v>2262901424</v>
      </c>
      <c r="Q8" s="191">
        <f>'S. ADMINISTRATIVO'!$X$8+'S. ADMINISTRATIVO'!$X$9+'S. ADMINISTRATIVO'!$X$10+'S. ADMINISTRATIVO'!$X$11+'S. ADMINISTRATIVO'!$X$12</f>
        <v>597997393</v>
      </c>
      <c r="R8" s="193">
        <f>IFERROR(Q8/P8,0)</f>
        <v>0.26426135343666651</v>
      </c>
    </row>
    <row r="9" spans="1:18" x14ac:dyDescent="0.25">
      <c r="A9" s="542"/>
      <c r="B9" s="542"/>
      <c r="C9" s="1" t="s">
        <v>419</v>
      </c>
      <c r="D9" s="225">
        <f>'S. ADMINISTRATIVO'!AH9</f>
        <v>0</v>
      </c>
      <c r="E9" s="638"/>
      <c r="F9" s="635"/>
      <c r="H9" s="104" t="str">
        <f t="shared" si="0"/>
        <v>Rojo</v>
      </c>
      <c r="I9" s="104" t="s">
        <v>705</v>
      </c>
      <c r="J9" s="104">
        <f>COUNTIF($H$12,"Rojo")</f>
        <v>0</v>
      </c>
      <c r="K9" s="104">
        <f>COUNTIF($H$12,"Amarillo")</f>
        <v>1</v>
      </c>
      <c r="L9" s="104">
        <f>COUNTIF($H$12,"Verde")</f>
        <v>0</v>
      </c>
      <c r="M9" s="104">
        <f>COUNTIF($H$12,"Azul")</f>
        <v>0</v>
      </c>
      <c r="N9" s="104">
        <f t="shared" ref="N9:N13" si="1">SUM(J9:M9)</f>
        <v>1</v>
      </c>
      <c r="O9" s="192">
        <f t="shared" ref="O9:O13" si="2">((100/N9)*SUM(K9:M9)/100)</f>
        <v>1</v>
      </c>
      <c r="P9" s="191">
        <f>'S. ADMINISTRATIVO'!$W$14+'S. ADMINISTRATIVO'!$W$15+'S. ADMINISTRATIVO'!$W$16+'S. ADMINISTRATIVO'!$W$17+'S. ADMINISTRATIVO'!$W$18+'S. ADMINISTRATIVO'!$W$19+'S. ADMINISTRATIVO'!$W$20</f>
        <v>3637298707</v>
      </c>
      <c r="Q9" s="191">
        <f>'S. ADMINISTRATIVO'!$X$14+'S. ADMINISTRATIVO'!$X$15+'S. ADMINISTRATIVO'!$X$16+'S. ADMINISTRATIVO'!$X$17+'S. ADMINISTRATIVO'!$X$18+'S. ADMINISTRATIVO'!$X$19+'S. ADMINISTRATIVO'!$X$20</f>
        <v>1584683753</v>
      </c>
      <c r="R9" s="193">
        <f t="shared" ref="R9:R13" si="3">IFERROR(Q9/P9,0)</f>
        <v>0.43567600042038562</v>
      </c>
    </row>
    <row r="10" spans="1:18" x14ac:dyDescent="0.25">
      <c r="A10" s="542"/>
      <c r="B10" s="542"/>
      <c r="C10" s="1" t="s">
        <v>420</v>
      </c>
      <c r="D10" s="225">
        <f>'S. ADMINISTRATIVO'!AH10</f>
        <v>0</v>
      </c>
      <c r="E10" s="638"/>
      <c r="F10" s="635"/>
      <c r="H10" s="104" t="str">
        <f t="shared" si="0"/>
        <v>Rojo</v>
      </c>
      <c r="I10" s="104" t="s">
        <v>706</v>
      </c>
      <c r="J10" s="104">
        <f>COUNTIF($H$13:$H$19,"Rojo")</f>
        <v>0</v>
      </c>
      <c r="K10" s="104">
        <f>COUNTIF($H$13:$H$19,"Amarillo")</f>
        <v>0</v>
      </c>
      <c r="L10" s="104">
        <f>COUNTIF($H$13:$H$19,"Verde")</f>
        <v>0</v>
      </c>
      <c r="M10" s="104">
        <f>COUNTIF($H$13:$H$19,"Azul")</f>
        <v>7</v>
      </c>
      <c r="N10" s="104">
        <f t="shared" si="1"/>
        <v>7</v>
      </c>
      <c r="O10" s="192">
        <f t="shared" si="2"/>
        <v>1</v>
      </c>
      <c r="P10" s="191">
        <f>'S. ADMINISTRATIVO'!$W$21</f>
        <v>549305214</v>
      </c>
      <c r="Q10" s="191">
        <f>'S. ADMINISTRATIVO'!$X$21</f>
        <v>449606837</v>
      </c>
      <c r="R10" s="193">
        <f t="shared" si="3"/>
        <v>0.81850094545070162</v>
      </c>
    </row>
    <row r="11" spans="1:18" ht="15" customHeight="1" x14ac:dyDescent="0.25">
      <c r="A11" s="542"/>
      <c r="B11" s="637">
        <v>0.15</v>
      </c>
      <c r="C11" s="10" t="s">
        <v>336</v>
      </c>
      <c r="D11" s="209">
        <f>'S. ADMINISTRATIVO'!AH11</f>
        <v>0</v>
      </c>
      <c r="E11" s="640">
        <f>B11*O9</f>
        <v>0.15</v>
      </c>
      <c r="F11" s="635"/>
      <c r="H11" s="104" t="str">
        <f t="shared" si="0"/>
        <v>Rojo</v>
      </c>
      <c r="I11" s="104" t="s">
        <v>707</v>
      </c>
      <c r="J11" s="104">
        <f>COUNTIF($H$20:$H$20,"Rojo")</f>
        <v>0</v>
      </c>
      <c r="K11" s="104">
        <f>COUNTIF($H$20:$H$20,"Amarillo")</f>
        <v>0</v>
      </c>
      <c r="L11" s="104">
        <f>COUNTIF($H$20:$H$20,"Verde")</f>
        <v>0</v>
      </c>
      <c r="M11" s="104">
        <f>COUNTIF($H$20:$H$20,"Azul")</f>
        <v>1</v>
      </c>
      <c r="N11" s="104">
        <f t="shared" si="1"/>
        <v>1</v>
      </c>
      <c r="O11" s="192">
        <f t="shared" si="2"/>
        <v>1</v>
      </c>
      <c r="P11" s="191">
        <f>'S. ADMINISTRATIVO'!$W$22+'S. ADMINISTRATIVO'!$W$23+'S. ADMINISTRATIVO'!$W$24</f>
        <v>254238283</v>
      </c>
      <c r="Q11" s="191">
        <f>'S. ADMINISTRATIVO'!$X$22+'S. ADMINISTRATIVO'!$X$23+'S. ADMINISTRATIVO'!$X$24</f>
        <v>226166196</v>
      </c>
      <c r="R11" s="193">
        <f t="shared" si="3"/>
        <v>0.88958355654093213</v>
      </c>
    </row>
    <row r="12" spans="1:18" ht="15.75" customHeight="1" x14ac:dyDescent="0.25">
      <c r="A12" s="543"/>
      <c r="B12" s="639"/>
      <c r="C12" s="10" t="s">
        <v>338</v>
      </c>
      <c r="D12" s="225">
        <f>'S. ADMINISTRATIVO'!AH12</f>
        <v>0.20454545454545456</v>
      </c>
      <c r="E12" s="641"/>
      <c r="F12" s="636"/>
      <c r="H12" s="104" t="str">
        <f t="shared" si="0"/>
        <v>Amarillo</v>
      </c>
      <c r="I12" s="104" t="s">
        <v>708</v>
      </c>
      <c r="J12" s="104">
        <f>COUNTIF($H$21:$H$23,"Rojo")</f>
        <v>1</v>
      </c>
      <c r="K12" s="104">
        <f>COUNTIF($H$21:$H$23,"Amarillo")</f>
        <v>0</v>
      </c>
      <c r="L12" s="104">
        <f>COUNTIF($H$21:$H$23,"Verde")</f>
        <v>0</v>
      </c>
      <c r="M12" s="104">
        <f>COUNTIF($H$21:$H$23,"Azul")</f>
        <v>2</v>
      </c>
      <c r="N12" s="104">
        <f t="shared" si="1"/>
        <v>3</v>
      </c>
      <c r="O12" s="192">
        <f t="shared" si="2"/>
        <v>0.66666666666666674</v>
      </c>
      <c r="P12" s="191">
        <f>'S. ADMINISTRATIVO'!$W$26</f>
        <v>0</v>
      </c>
      <c r="Q12" s="191">
        <f>'S. ADMINISTRATIVO'!$X$26</f>
        <v>0</v>
      </c>
      <c r="R12" s="193">
        <f t="shared" si="3"/>
        <v>0</v>
      </c>
    </row>
    <row r="13" spans="1:18" ht="15" customHeight="1" x14ac:dyDescent="0.25">
      <c r="A13" s="541" t="str">
        <f>'S. ADMINISTRATIVO'!B14</f>
        <v>SA-PY2.b  Desarrollo, dotación y Mantenimiento de las Sedes.</v>
      </c>
      <c r="B13" s="637">
        <v>0.25</v>
      </c>
      <c r="C13" s="1" t="s">
        <v>345</v>
      </c>
      <c r="D13" s="209" t="str">
        <f>'S. ADMINISTRATIVO'!AH13</f>
        <v>MNP</v>
      </c>
      <c r="E13" s="640">
        <f>B13*O10</f>
        <v>0.25</v>
      </c>
      <c r="F13" s="634">
        <f>R9</f>
        <v>0.43567600042038562</v>
      </c>
      <c r="H13" s="104" t="str">
        <f t="shared" si="0"/>
        <v>Azul</v>
      </c>
      <c r="I13" s="104" t="s">
        <v>709</v>
      </c>
      <c r="J13" s="104">
        <f>COUNTIF($H$24:$H$24,"Rojo")</f>
        <v>1</v>
      </c>
      <c r="K13" s="104">
        <f>COUNTIF($H$24:$H$24,"Amarillo")</f>
        <v>0</v>
      </c>
      <c r="L13" s="104">
        <f>COUNTIF($H$24:$H$24,"Verde")</f>
        <v>0</v>
      </c>
      <c r="M13" s="104">
        <f>COUNTIF($H$24:$H$24,"Azul")</f>
        <v>0</v>
      </c>
      <c r="N13" s="104">
        <f t="shared" si="1"/>
        <v>1</v>
      </c>
      <c r="O13" s="192">
        <f t="shared" si="2"/>
        <v>0</v>
      </c>
      <c r="P13" s="191">
        <f>'S. ADMINISTRATIVO'!$W$27</f>
        <v>215500000</v>
      </c>
      <c r="Q13" s="191">
        <f>'S. ADMINISTRATIVO'!$X$27</f>
        <v>109249010</v>
      </c>
      <c r="R13" s="193">
        <f t="shared" si="3"/>
        <v>0.50695596287703015</v>
      </c>
    </row>
    <row r="14" spans="1:18" ht="15" customHeight="1" x14ac:dyDescent="0.25">
      <c r="A14" s="542"/>
      <c r="B14" s="639"/>
      <c r="C14" s="1" t="s">
        <v>349</v>
      </c>
      <c r="D14" s="225">
        <f>'S. ADMINISTRATIVO'!AH14</f>
        <v>4761.0276923076926</v>
      </c>
      <c r="E14" s="641"/>
      <c r="F14" s="635"/>
      <c r="H14" s="104" t="str">
        <f t="shared" si="0"/>
        <v>Azul</v>
      </c>
      <c r="I14" s="104"/>
      <c r="J14" s="104"/>
      <c r="K14" s="104"/>
      <c r="L14" s="104"/>
      <c r="M14" s="104"/>
      <c r="N14" s="104"/>
      <c r="O14" s="192"/>
      <c r="P14" s="191"/>
      <c r="Q14" s="191"/>
      <c r="R14" s="193"/>
    </row>
    <row r="15" spans="1:18" x14ac:dyDescent="0.25">
      <c r="A15" s="542"/>
      <c r="B15" s="639"/>
      <c r="C15" s="1" t="s">
        <v>352</v>
      </c>
      <c r="D15" s="225">
        <f>'S. ADMINISTRATIVO'!AH15</f>
        <v>490294.98474341194</v>
      </c>
      <c r="E15" s="641"/>
      <c r="F15" s="635"/>
      <c r="H15" s="104" t="str">
        <f t="shared" si="0"/>
        <v>Azul</v>
      </c>
      <c r="I15" s="104"/>
      <c r="J15" s="104"/>
      <c r="K15" s="104"/>
      <c r="L15" s="104"/>
      <c r="M15" s="104"/>
      <c r="N15" s="104"/>
      <c r="O15" s="104"/>
      <c r="P15" s="104"/>
      <c r="Q15" s="104"/>
      <c r="R15" s="104"/>
    </row>
    <row r="16" spans="1:18" ht="15.75" customHeight="1" x14ac:dyDescent="0.25">
      <c r="A16" s="542"/>
      <c r="B16" s="639"/>
      <c r="C16" s="1" t="s">
        <v>355</v>
      </c>
      <c r="D16" s="225">
        <f>'S. ADMINISTRATIVO'!AH16</f>
        <v>66937.667701863349</v>
      </c>
      <c r="E16" s="641"/>
      <c r="F16" s="635"/>
      <c r="H16" s="104" t="str">
        <f t="shared" si="0"/>
        <v>Azul</v>
      </c>
      <c r="I16" s="104"/>
      <c r="J16" s="104"/>
      <c r="K16" s="104"/>
      <c r="L16" s="104"/>
      <c r="M16" s="104"/>
      <c r="N16" s="104"/>
      <c r="O16" s="104"/>
      <c r="P16" s="104"/>
      <c r="Q16" s="104"/>
      <c r="R16" s="104"/>
    </row>
    <row r="17" spans="1:18" ht="15.75" customHeight="1" x14ac:dyDescent="0.25">
      <c r="A17" s="542"/>
      <c r="B17" s="639"/>
      <c r="C17" s="1" t="s">
        <v>358</v>
      </c>
      <c r="D17" s="225">
        <f>'S. ADMINISTRATIVO'!AH17</f>
        <v>186393.98723404255</v>
      </c>
      <c r="E17" s="641"/>
      <c r="F17" s="635"/>
      <c r="H17" s="104" t="str">
        <f t="shared" si="0"/>
        <v>Azul</v>
      </c>
      <c r="I17" s="104"/>
      <c r="J17" s="104"/>
      <c r="K17" s="104"/>
      <c r="L17" s="104"/>
      <c r="M17" s="104"/>
      <c r="N17" s="104"/>
      <c r="O17" s="104"/>
      <c r="P17" s="104"/>
      <c r="Q17" s="104"/>
      <c r="R17" s="104"/>
    </row>
    <row r="18" spans="1:18" ht="25.5" customHeight="1" x14ac:dyDescent="0.25">
      <c r="A18" s="542"/>
      <c r="B18" s="639"/>
      <c r="C18" s="1" t="s">
        <v>361</v>
      </c>
      <c r="D18" s="225">
        <f>'S. ADMINISTRATIVO'!AH18</f>
        <v>43992.49</v>
      </c>
      <c r="E18" s="641"/>
      <c r="F18" s="635"/>
      <c r="H18" s="104" t="str">
        <f t="shared" si="0"/>
        <v>Azul</v>
      </c>
      <c r="I18" s="104"/>
      <c r="J18" s="104"/>
      <c r="K18" s="104"/>
      <c r="L18" s="104"/>
      <c r="M18" s="104"/>
      <c r="N18" s="104"/>
      <c r="O18" s="104"/>
      <c r="P18" s="104"/>
      <c r="Q18" s="104"/>
      <c r="R18" s="104"/>
    </row>
    <row r="19" spans="1:18" ht="15.75" customHeight="1" x14ac:dyDescent="0.25">
      <c r="A19" s="543"/>
      <c r="B19" s="642"/>
      <c r="C19" s="1" t="s">
        <v>364</v>
      </c>
      <c r="D19" s="225">
        <f>'S. ADMINISTRATIVO'!AH19</f>
        <v>600786.8194444445</v>
      </c>
      <c r="E19" s="643"/>
      <c r="F19" s="636"/>
      <c r="H19" s="104" t="str">
        <f t="shared" si="0"/>
        <v>Azul</v>
      </c>
      <c r="I19" s="104"/>
      <c r="J19" s="104"/>
      <c r="K19" s="104"/>
      <c r="L19" s="104"/>
      <c r="M19" s="104"/>
      <c r="N19" s="104"/>
      <c r="O19" s="104"/>
      <c r="P19" s="104"/>
      <c r="Q19" s="104"/>
      <c r="R19" s="104"/>
    </row>
    <row r="20" spans="1:18" ht="30" x14ac:dyDescent="0.25">
      <c r="A20" s="205" t="str">
        <f>'S. ADMINISTRATIVO'!B21</f>
        <v>Proyecto SA-PY2c. Desarrollo Proyectos Institucionales</v>
      </c>
      <c r="B20" s="120">
        <v>0.1</v>
      </c>
      <c r="C20" s="1" t="s">
        <v>368</v>
      </c>
      <c r="D20" s="209">
        <f>'S. ADMINISTRATIVO'!AH21</f>
        <v>0.6</v>
      </c>
      <c r="E20" s="204">
        <f>B20*O11</f>
        <v>0.1</v>
      </c>
      <c r="F20" s="194">
        <f>R10</f>
        <v>0.81850094545070162</v>
      </c>
      <c r="H20" s="104" t="str">
        <f t="shared" si="0"/>
        <v>Azul</v>
      </c>
      <c r="I20" s="104"/>
      <c r="J20" s="104"/>
      <c r="K20" s="104"/>
      <c r="L20" s="104"/>
      <c r="M20" s="104"/>
      <c r="N20" s="104"/>
      <c r="O20" s="104"/>
      <c r="P20" s="104"/>
      <c r="Q20" s="104"/>
      <c r="R20" s="104"/>
    </row>
    <row r="21" spans="1:18" ht="15" customHeight="1" x14ac:dyDescent="0.25">
      <c r="A21" s="644" t="str">
        <f>'S. ADMINISTRATIVO'!B22</f>
        <v>SA-PY3.  Aseguramiento de los sistemas de Gestión de Calidad y Gestión Ambiental.</v>
      </c>
      <c r="B21" s="637">
        <v>0.15</v>
      </c>
      <c r="C21" s="1" t="s">
        <v>372</v>
      </c>
      <c r="D21" s="209">
        <f>'S. ADMINISTRATIVO'!AH22</f>
        <v>475000</v>
      </c>
      <c r="E21" s="638">
        <f>B21*O12</f>
        <v>0.1</v>
      </c>
      <c r="F21" s="647">
        <f>R11</f>
        <v>0.88958355654093213</v>
      </c>
      <c r="H21" s="104" t="str">
        <f t="shared" si="0"/>
        <v>Azul</v>
      </c>
      <c r="I21" s="104"/>
      <c r="J21" s="104"/>
      <c r="K21" s="104"/>
      <c r="L21" s="104"/>
      <c r="M21" s="104"/>
      <c r="N21" s="104"/>
      <c r="O21" s="104"/>
      <c r="P21" s="104"/>
      <c r="Q21" s="104"/>
      <c r="R21" s="104"/>
    </row>
    <row r="22" spans="1:18" x14ac:dyDescent="0.25">
      <c r="A22" s="645"/>
      <c r="B22" s="542"/>
      <c r="C22" s="1" t="s">
        <v>375</v>
      </c>
      <c r="D22" s="225">
        <f>'S. ADMINISTRATIVO'!AH23</f>
        <v>419415.38805970148</v>
      </c>
      <c r="E22" s="638"/>
      <c r="F22" s="470"/>
      <c r="H22" s="104" t="str">
        <f t="shared" si="0"/>
        <v>Azul</v>
      </c>
      <c r="I22" s="104"/>
      <c r="J22" s="104"/>
      <c r="K22" s="104"/>
      <c r="L22" s="104"/>
      <c r="M22" s="104"/>
      <c r="N22" s="104"/>
      <c r="O22" s="104"/>
      <c r="P22" s="104"/>
      <c r="Q22" s="104"/>
      <c r="R22" s="104"/>
    </row>
    <row r="23" spans="1:18" ht="15" customHeight="1" x14ac:dyDescent="0.25">
      <c r="A23" s="646"/>
      <c r="B23" s="543"/>
      <c r="C23" s="1" t="s">
        <v>377</v>
      </c>
      <c r="D23" s="225">
        <f>'S. ADMINISTRATIVO'!AH24</f>
        <v>0</v>
      </c>
      <c r="E23" s="638"/>
      <c r="F23" s="470"/>
      <c r="H23" s="104" t="str">
        <f t="shared" si="0"/>
        <v>Rojo</v>
      </c>
      <c r="I23" s="104"/>
      <c r="J23" s="104"/>
      <c r="K23" s="104"/>
      <c r="L23" s="104"/>
      <c r="M23" s="104"/>
      <c r="N23" s="104"/>
      <c r="O23" s="104"/>
      <c r="P23" s="104"/>
      <c r="Q23" s="104"/>
      <c r="R23" s="104"/>
    </row>
    <row r="24" spans="1:18" ht="45" x14ac:dyDescent="0.25">
      <c r="A24" s="117" t="str">
        <f>'S. ADMINISTRATIVO'!B26</f>
        <v>SA-PY5.  Reestructuración Organizacional académica y administrativa.</v>
      </c>
      <c r="B24" s="120">
        <v>0.1</v>
      </c>
      <c r="C24" s="1" t="s">
        <v>382</v>
      </c>
      <c r="D24" s="209">
        <f>'S. ADMINISTRATIVO'!AH26</f>
        <v>0</v>
      </c>
      <c r="E24" s="95">
        <f>B24*O13</f>
        <v>0</v>
      </c>
      <c r="F24" s="194">
        <f>R12</f>
        <v>0</v>
      </c>
      <c r="H24" s="104" t="str">
        <f t="shared" si="0"/>
        <v>Rojo</v>
      </c>
      <c r="I24" s="104"/>
      <c r="J24" s="104"/>
      <c r="K24" s="104"/>
      <c r="L24" s="104"/>
      <c r="M24" s="104"/>
      <c r="N24" s="104"/>
      <c r="O24" s="104"/>
      <c r="P24" s="104"/>
      <c r="Q24" s="104"/>
      <c r="R24" s="104"/>
    </row>
    <row r="25" spans="1:18" ht="45" x14ac:dyDescent="0.25">
      <c r="A25" s="117" t="str">
        <f>'S. ADMINISTRATIVO'!B27</f>
        <v>SA-PY7. Formación y Capacitación al Personal Administrativo y Operativo.</v>
      </c>
      <c r="B25" s="120">
        <v>0.15</v>
      </c>
      <c r="C25" s="1" t="s">
        <v>387</v>
      </c>
      <c r="D25" s="209">
        <f>'S. ADMINISTRATIVO'!AH27</f>
        <v>0.10555555555555556</v>
      </c>
      <c r="E25" s="95">
        <f>B25*O13</f>
        <v>0</v>
      </c>
      <c r="F25" s="194">
        <f>R13</f>
        <v>0.50695596287703015</v>
      </c>
      <c r="H25" s="104" t="str">
        <f t="shared" si="0"/>
        <v>Rojo</v>
      </c>
      <c r="I25" s="104"/>
      <c r="J25" s="104"/>
      <c r="K25" s="104"/>
      <c r="L25" s="104"/>
      <c r="M25" s="104"/>
      <c r="N25" s="104"/>
      <c r="O25" s="104"/>
      <c r="P25" s="104"/>
      <c r="Q25" s="104"/>
      <c r="R25" s="104"/>
    </row>
    <row r="26" spans="1:18" ht="15" customHeight="1" x14ac:dyDescent="0.25">
      <c r="A26" s="648" t="s">
        <v>499</v>
      </c>
      <c r="B26" s="648"/>
      <c r="C26" s="648"/>
      <c r="D26" s="648"/>
      <c r="E26" s="201">
        <f>(SUM(E8:E25)/7)</f>
        <v>8.8636363636363624E-2</v>
      </c>
      <c r="F26" s="195">
        <f>SUM(F8:F25)/7</f>
        <v>0.41642540267510231</v>
      </c>
      <c r="H26" s="104"/>
      <c r="I26" s="104"/>
      <c r="J26" s="104"/>
      <c r="K26" s="104"/>
      <c r="L26" s="104"/>
      <c r="M26" s="104"/>
      <c r="N26" s="104"/>
      <c r="O26" s="104"/>
      <c r="P26" s="104"/>
      <c r="Q26" s="104"/>
      <c r="R26" s="104"/>
    </row>
    <row r="27" spans="1:18" x14ac:dyDescent="0.25">
      <c r="C27" s="113" t="s">
        <v>500</v>
      </c>
      <c r="H27" s="104"/>
    </row>
    <row r="28" spans="1:18" x14ac:dyDescent="0.25">
      <c r="H28" s="104"/>
    </row>
    <row r="29" spans="1:18" x14ac:dyDescent="0.25">
      <c r="H29" s="104"/>
    </row>
    <row r="30" spans="1:18" ht="15.75" x14ac:dyDescent="0.25">
      <c r="A30" s="111"/>
      <c r="B30" s="111"/>
      <c r="C30" s="111"/>
      <c r="D30" s="111"/>
      <c r="H30" s="104"/>
    </row>
    <row r="31" spans="1:18" ht="30" x14ac:dyDescent="0.25">
      <c r="A31" s="213" t="s">
        <v>489</v>
      </c>
      <c r="B31" s="213" t="s">
        <v>729</v>
      </c>
      <c r="C31" s="213" t="s">
        <v>732</v>
      </c>
      <c r="D31" s="213" t="s">
        <v>7</v>
      </c>
      <c r="H31" s="104"/>
    </row>
    <row r="32" spans="1:18" ht="45" x14ac:dyDescent="0.25">
      <c r="A32" s="11" t="str">
        <f>A8</f>
        <v>SA-PY.1 Revisión, reforma y actualización de la plataforma jurídico-normativa institucional</v>
      </c>
      <c r="B32" s="214">
        <f>O8</f>
        <v>0.20454545454545456</v>
      </c>
      <c r="C32" s="214">
        <f>F8</f>
        <v>0.26426135343666651</v>
      </c>
      <c r="D32" s="214">
        <f>(B32+C32)/2</f>
        <v>0.23440340399106052</v>
      </c>
      <c r="H32" s="104"/>
    </row>
    <row r="33" spans="1:18" ht="30" x14ac:dyDescent="0.25">
      <c r="A33" s="11" t="str">
        <f>A13</f>
        <v>SA-PY2.b  Desarrollo, dotación y Mantenimiento de las Sedes.</v>
      </c>
      <c r="B33" s="288">
        <f t="shared" ref="B33:B37" si="4">O9</f>
        <v>1</v>
      </c>
      <c r="C33" s="214">
        <f>F13</f>
        <v>0.43567600042038562</v>
      </c>
      <c r="D33" s="214">
        <f t="shared" ref="D33:D37" si="5">(B33+C33)/2</f>
        <v>0.71783800021019284</v>
      </c>
      <c r="H33" s="104"/>
    </row>
    <row r="34" spans="1:18" ht="30" x14ac:dyDescent="0.25">
      <c r="A34" s="11" t="str">
        <f>A20</f>
        <v>Proyecto SA-PY2c. Desarrollo Proyectos Institucionales</v>
      </c>
      <c r="B34" s="288">
        <f t="shared" si="4"/>
        <v>1</v>
      </c>
      <c r="C34" s="214">
        <f>F20</f>
        <v>0.81850094545070162</v>
      </c>
      <c r="D34" s="214">
        <f t="shared" si="5"/>
        <v>0.90925047272535076</v>
      </c>
      <c r="H34" s="104"/>
    </row>
    <row r="35" spans="1:18" ht="45" x14ac:dyDescent="0.25">
      <c r="A35" s="11" t="str">
        <f>A21</f>
        <v>SA-PY3.  Aseguramiento de los sistemas de Gestión de Calidad y Gestión Ambiental.</v>
      </c>
      <c r="B35" s="288">
        <f t="shared" si="4"/>
        <v>1</v>
      </c>
      <c r="C35" s="214">
        <f>F21</f>
        <v>0.88958355654093213</v>
      </c>
      <c r="D35" s="214">
        <f t="shared" si="5"/>
        <v>0.94479177827046601</v>
      </c>
      <c r="H35" s="104"/>
    </row>
    <row r="36" spans="1:18" ht="45" x14ac:dyDescent="0.25">
      <c r="A36" s="11" t="str">
        <f>A24</f>
        <v>SA-PY5.  Reestructuración Organizacional académica y administrativa.</v>
      </c>
      <c r="B36" s="288">
        <f t="shared" si="4"/>
        <v>0.66666666666666674</v>
      </c>
      <c r="C36" s="214">
        <f>F24</f>
        <v>0</v>
      </c>
      <c r="D36" s="214">
        <f t="shared" si="5"/>
        <v>0.33333333333333337</v>
      </c>
      <c r="H36" s="104"/>
    </row>
    <row r="37" spans="1:18" ht="45" x14ac:dyDescent="0.25">
      <c r="A37" s="11" t="str">
        <f>A25</f>
        <v>SA-PY7. Formación y Capacitación al Personal Administrativo y Operativo.</v>
      </c>
      <c r="B37" s="288">
        <f t="shared" si="4"/>
        <v>0</v>
      </c>
      <c r="C37" s="214">
        <f>F25</f>
        <v>0.50695596287703015</v>
      </c>
      <c r="D37" s="214">
        <f t="shared" si="5"/>
        <v>0.25347798143851508</v>
      </c>
      <c r="H37" s="104"/>
    </row>
    <row r="38" spans="1:18" x14ac:dyDescent="0.25">
      <c r="A38" s="215" t="s">
        <v>728</v>
      </c>
      <c r="B38" s="214">
        <f>AVERAGE(B32:B37)</f>
        <v>0.64520202020202022</v>
      </c>
      <c r="C38" s="214">
        <f>AVERAGE(C32:C37)</f>
        <v>0.48582963645428601</v>
      </c>
      <c r="D38" s="214">
        <f>AVERAGE(D32:D37)</f>
        <v>0.56551582832815317</v>
      </c>
      <c r="H38" s="104"/>
    </row>
    <row r="39" spans="1:18" x14ac:dyDescent="0.25">
      <c r="H39" s="104"/>
    </row>
    <row r="40" spans="1:18" x14ac:dyDescent="0.25">
      <c r="H40" s="104"/>
    </row>
    <row r="41" spans="1:18" x14ac:dyDescent="0.25">
      <c r="H41" s="104"/>
    </row>
    <row r="42" spans="1:18" ht="19.5" x14ac:dyDescent="0.3">
      <c r="A42" s="633" t="s">
        <v>498</v>
      </c>
      <c r="B42" s="633"/>
      <c r="C42" s="633"/>
      <c r="D42" s="633"/>
      <c r="E42" s="633"/>
      <c r="F42" s="633"/>
    </row>
    <row r="43" spans="1:18" ht="45" x14ac:dyDescent="0.25">
      <c r="A43" s="355" t="s">
        <v>489</v>
      </c>
      <c r="B43" s="342" t="s">
        <v>490</v>
      </c>
      <c r="C43" s="355" t="s">
        <v>491</v>
      </c>
      <c r="D43" s="342" t="s">
        <v>492</v>
      </c>
      <c r="E43" s="342" t="s">
        <v>493</v>
      </c>
      <c r="F43" s="342" t="s">
        <v>494</v>
      </c>
      <c r="H43" s="103"/>
      <c r="I43" s="103"/>
      <c r="J43" s="103" t="s">
        <v>710</v>
      </c>
      <c r="K43" s="103" t="s">
        <v>711</v>
      </c>
      <c r="L43" s="103" t="s">
        <v>712</v>
      </c>
      <c r="M43" s="103" t="s">
        <v>713</v>
      </c>
      <c r="N43" s="103" t="s">
        <v>714</v>
      </c>
      <c r="O43" s="103"/>
      <c r="P43" s="190" t="s">
        <v>715</v>
      </c>
      <c r="Q43" s="190" t="s">
        <v>716</v>
      </c>
      <c r="R43" s="103"/>
    </row>
    <row r="44" spans="1:18" x14ac:dyDescent="0.25">
      <c r="A44" s="541" t="s">
        <v>335</v>
      </c>
      <c r="B44" s="637">
        <v>0.1</v>
      </c>
      <c r="C44" s="1" t="s">
        <v>418</v>
      </c>
      <c r="D44" s="363">
        <f>'S. ADMINISTRATIVO'!AV44</f>
        <v>0</v>
      </c>
      <c r="E44" s="638">
        <f>B44*O44</f>
        <v>0</v>
      </c>
      <c r="F44" s="634">
        <f>R44</f>
        <v>0.45744577100558942</v>
      </c>
      <c r="H44" s="104" t="str">
        <f>IF(D44&lt;25%,"Rojo",IF(D44&lt;56%,"Amarillo",IF(D44&lt;74.1%,"Verde","Azul")))</f>
        <v>Rojo</v>
      </c>
      <c r="I44" s="104" t="s">
        <v>851</v>
      </c>
      <c r="J44" s="104">
        <f>COUNTIF($H$44:$H$48,"Rojo")</f>
        <v>5</v>
      </c>
      <c r="K44" s="104">
        <f>COUNTIF($H$44:$H$48,"Amarillo")</f>
        <v>0</v>
      </c>
      <c r="L44" s="104">
        <f>COUNTIF($H$44:$H$48,"Verde")</f>
        <v>0</v>
      </c>
      <c r="M44" s="104">
        <f>COUNTIF($H$44:$H$48,"Azul")</f>
        <v>0</v>
      </c>
      <c r="N44" s="104">
        <f t="shared" ref="N44:N49" si="6">SUM(J44:M44)</f>
        <v>5</v>
      </c>
      <c r="O44" s="192">
        <f>'S. ADMINISTRATIVO'!AH48</f>
        <v>0</v>
      </c>
      <c r="P44" s="191">
        <f>'S. ADMINISTRATIVO'!$AK$8+'S. ADMINISTRATIVO'!$AK$9+'S. ADMINISTRATIVO'!$AK$10+'S. ADMINISTRATIVO'!$AK$11+'S. ADMINISTRATIVO'!$AK$12</f>
        <v>1999467327</v>
      </c>
      <c r="Q44" s="191">
        <f>'S. ADMINISTRATIVO'!$AL$8+'S. ADMINISTRATIVO'!$AL$9+'S. ADMINISTRATIVO'!$AL$10+'S. ADMINISTRATIVO'!$AL$11+'S. ADMINISTRATIVO'!$AL$12</f>
        <v>914647873</v>
      </c>
      <c r="R44" s="193">
        <f t="shared" ref="R44:R49" si="7">IFERROR(Q44/P44,0)</f>
        <v>0.45744577100558942</v>
      </c>
    </row>
    <row r="45" spans="1:18" ht="15" customHeight="1" x14ac:dyDescent="0.25">
      <c r="A45" s="542"/>
      <c r="B45" s="542"/>
      <c r="C45" s="1" t="s">
        <v>419</v>
      </c>
      <c r="D45" s="363">
        <f>'S. ADMINISTRATIVO'!AV45</f>
        <v>0</v>
      </c>
      <c r="E45" s="638"/>
      <c r="F45" s="635"/>
      <c r="H45" s="104" t="str">
        <f t="shared" ref="H45:H61" si="8">IF(D45&lt;25%,"Rojo",IF(D45&lt;56%,"Amarillo",IF(D45&lt;74.1%,"Verde","Azul")))</f>
        <v>Rojo</v>
      </c>
      <c r="I45" s="104" t="s">
        <v>852</v>
      </c>
      <c r="J45" s="104">
        <f>COUNTIF($H$49:$H$55,"Rojo")</f>
        <v>7</v>
      </c>
      <c r="K45" s="104">
        <f>COUNTIF($H$49:$H$55,"Amarillo")</f>
        <v>0</v>
      </c>
      <c r="L45" s="104">
        <f>COUNTIF($H$49:$H$55,"Verde")</f>
        <v>0</v>
      </c>
      <c r="M45" s="104">
        <f>COUNTIF($H$49:$H$55,"Azul")</f>
        <v>0</v>
      </c>
      <c r="N45" s="104">
        <f t="shared" si="6"/>
        <v>7</v>
      </c>
      <c r="O45" s="192">
        <f>((100/N45)*SUM(K45:M45)/100)</f>
        <v>0</v>
      </c>
      <c r="P45" s="191">
        <f>'S. ADMINISTRATIVO'!$AK$14+'S. ADMINISTRATIVO'!$AK$15+'S. ADMINISTRATIVO'!$AK$16+'S. ADMINISTRATIVO'!$AK$17+'S. ADMINISTRATIVO'!$AK$18+'S. ADMINISTRATIVO'!$AK$19+'S. ADMINISTRATIVO'!$AK$20</f>
        <v>3737298707</v>
      </c>
      <c r="Q45" s="191">
        <f>'S. ADMINISTRATIVO'!$AL$14+'S. ADMINISTRATIVO'!$AL$15+'S. ADMINISTRATIVO'!$AL$16+'S. ADMINISTRATIVO'!$AL$17+'S. ADMINISTRATIVO'!$AL$18+'S. ADMINISTRATIVO'!$AL$19+'S. ADMINISTRATIVO'!$AL$20</f>
        <v>2352191064</v>
      </c>
      <c r="R45" s="193">
        <f t="shared" si="7"/>
        <v>0.62938267674305004</v>
      </c>
    </row>
    <row r="46" spans="1:18" x14ac:dyDescent="0.25">
      <c r="A46" s="542"/>
      <c r="B46" s="542"/>
      <c r="C46" s="1" t="s">
        <v>420</v>
      </c>
      <c r="D46" s="363">
        <f>'S. ADMINISTRATIVO'!AV46</f>
        <v>0</v>
      </c>
      <c r="E46" s="638"/>
      <c r="F46" s="635"/>
      <c r="H46" s="104" t="str">
        <f t="shared" si="8"/>
        <v>Rojo</v>
      </c>
      <c r="I46" s="104" t="s">
        <v>853</v>
      </c>
      <c r="J46" s="104">
        <f>COUNTIF($H$56:$H$56,"Rojo")</f>
        <v>1</v>
      </c>
      <c r="K46" s="104">
        <f>COUNTIF($H$56:$H$56,"Amarillo")</f>
        <v>0</v>
      </c>
      <c r="L46" s="104">
        <f>COUNTIF($H$56:$H$56,"Verde")</f>
        <v>0</v>
      </c>
      <c r="M46" s="104">
        <f>COUNTIF($H$56:$H$56,"Azul")</f>
        <v>0</v>
      </c>
      <c r="N46" s="104">
        <f t="shared" si="6"/>
        <v>1</v>
      </c>
      <c r="O46" s="192">
        <f>((100/N46)*SUM(K46:M46)/100)</f>
        <v>0</v>
      </c>
      <c r="P46" s="191">
        <f>'S. ADMINISTRATIVO'!$AK$21</f>
        <v>99698377</v>
      </c>
      <c r="Q46" s="191">
        <f>'S. ADMINISTRATIVO'!$AL$21</f>
        <v>99698377</v>
      </c>
      <c r="R46" s="193">
        <f t="shared" si="7"/>
        <v>1</v>
      </c>
    </row>
    <row r="47" spans="1:18" x14ac:dyDescent="0.25">
      <c r="A47" s="542"/>
      <c r="B47" s="637">
        <v>0.15</v>
      </c>
      <c r="C47" s="10" t="s">
        <v>336</v>
      </c>
      <c r="D47" s="363">
        <f>'S. ADMINISTRATIVO'!AV47</f>
        <v>0</v>
      </c>
      <c r="E47" s="640">
        <f>B47*O45</f>
        <v>0</v>
      </c>
      <c r="F47" s="635"/>
      <c r="H47" s="104" t="str">
        <f t="shared" si="8"/>
        <v>Rojo</v>
      </c>
      <c r="I47" s="104" t="s">
        <v>706</v>
      </c>
      <c r="J47" s="104">
        <f>COUNTIF($H$57:$H$59,"Rojo")</f>
        <v>3</v>
      </c>
      <c r="K47" s="104">
        <f>COUNTIF($H$57:$H$59,"Amarillo")</f>
        <v>0</v>
      </c>
      <c r="L47" s="104">
        <f>COUNTIF($H$57:$H$59,"Verde")</f>
        <v>0</v>
      </c>
      <c r="M47" s="104">
        <f>COUNTIF($H$57:$H$59,"Azul")</f>
        <v>0</v>
      </c>
      <c r="N47" s="104">
        <f t="shared" si="6"/>
        <v>3</v>
      </c>
      <c r="O47" s="192">
        <f>((100/N47)*SUM(K47:M47)/100)</f>
        <v>0</v>
      </c>
      <c r="P47" s="191">
        <f>'S. ADMINISTRATIVO'!$AK$22+'S. ADMINISTRATIVO'!$AK$23+'S. ADMINISTRATIVO'!$AK$24</f>
        <v>280954283</v>
      </c>
      <c r="Q47" s="191">
        <f>'S. ADMINISTRATIVO'!$AL$22+'S. ADMINISTRATIVO'!$AL$23+'S. ADMINISTRATIVO'!$AL$24</f>
        <v>256412778</v>
      </c>
      <c r="R47" s="193">
        <f t="shared" si="7"/>
        <v>0.91264947187154999</v>
      </c>
    </row>
    <row r="48" spans="1:18" x14ac:dyDescent="0.25">
      <c r="A48" s="543"/>
      <c r="B48" s="639"/>
      <c r="C48" s="10" t="s">
        <v>338</v>
      </c>
      <c r="D48" s="363">
        <f>'S. ADMINISTRATIVO'!AV48</f>
        <v>0</v>
      </c>
      <c r="E48" s="641"/>
      <c r="F48" s="636"/>
      <c r="H48" s="104" t="str">
        <f t="shared" si="8"/>
        <v>Rojo</v>
      </c>
      <c r="I48" s="104" t="s">
        <v>708</v>
      </c>
      <c r="J48" s="104">
        <f>COUNTIF($H$60:$H$60,"Rojo")</f>
        <v>1</v>
      </c>
      <c r="K48" s="104">
        <f>COUNTIF($H$60:$H$60,"Amarillo")</f>
        <v>0</v>
      </c>
      <c r="L48" s="104">
        <f>COUNTIF($H$60:$H$60,"Verde")</f>
        <v>0</v>
      </c>
      <c r="M48" s="104">
        <f>COUNTIF($H$60:$H$60,"Azul")</f>
        <v>0</v>
      </c>
      <c r="N48" s="104">
        <f t="shared" si="6"/>
        <v>1</v>
      </c>
      <c r="O48" s="192">
        <f>((100/N48)*SUM(K48:M48)/100)</f>
        <v>0</v>
      </c>
      <c r="P48" s="191">
        <f>'S. ADMINISTRATIVO'!$AK$26</f>
        <v>0</v>
      </c>
      <c r="Q48" s="191">
        <f>'S. ADMINISTRATIVO'!$AL$26</f>
        <v>0</v>
      </c>
      <c r="R48" s="193">
        <f t="shared" si="7"/>
        <v>0</v>
      </c>
    </row>
    <row r="49" spans="1:18" ht="15" customHeight="1" x14ac:dyDescent="0.25">
      <c r="A49" s="541" t="s">
        <v>344</v>
      </c>
      <c r="B49" s="637">
        <v>0.25</v>
      </c>
      <c r="C49" s="1" t="s">
        <v>345</v>
      </c>
      <c r="D49" s="363">
        <f>'S. ADMINISTRATIVO'!AV49</f>
        <v>0</v>
      </c>
      <c r="E49" s="640">
        <f>B49*O46</f>
        <v>0</v>
      </c>
      <c r="F49" s="634">
        <f>R45</f>
        <v>0.62938267674305004</v>
      </c>
      <c r="H49" s="104" t="str">
        <f t="shared" si="8"/>
        <v>Rojo</v>
      </c>
      <c r="I49" s="104" t="s">
        <v>709</v>
      </c>
      <c r="J49" s="104">
        <f>COUNTIF($H$61:$H$61,"Rojo")</f>
        <v>1</v>
      </c>
      <c r="K49" s="104">
        <f>COUNTIF($H$61:$H$61,"Amarillo")</f>
        <v>0</v>
      </c>
      <c r="L49" s="104">
        <f>COUNTIF($H$61:$H$61,"Verde")</f>
        <v>0</v>
      </c>
      <c r="M49" s="104">
        <f>COUNTIF($H$61:$H$61,"Azul")</f>
        <v>0</v>
      </c>
      <c r="N49" s="104">
        <f t="shared" si="6"/>
        <v>1</v>
      </c>
      <c r="O49" s="192">
        <f>((100/N49)*SUM(K49:M49)/100)</f>
        <v>0</v>
      </c>
      <c r="P49" s="191">
        <f>'S. ADMINISTRATIVO'!$AK$27</f>
        <v>215500000</v>
      </c>
      <c r="Q49" s="191">
        <f>'S. ADMINISTRATIVO'!$AL$27</f>
        <v>172865537</v>
      </c>
      <c r="R49" s="193">
        <f t="shared" si="7"/>
        <v>0.80216026450116007</v>
      </c>
    </row>
    <row r="50" spans="1:18" x14ac:dyDescent="0.25">
      <c r="A50" s="542"/>
      <c r="B50" s="639"/>
      <c r="C50" s="1" t="s">
        <v>349</v>
      </c>
      <c r="D50" s="363">
        <f>'S. ADMINISTRATIVO'!AV50</f>
        <v>0</v>
      </c>
      <c r="E50" s="641"/>
      <c r="F50" s="635"/>
      <c r="H50" s="104" t="str">
        <f t="shared" si="8"/>
        <v>Rojo</v>
      </c>
      <c r="I50" s="104"/>
      <c r="J50" s="104"/>
      <c r="K50" s="104"/>
      <c r="L50" s="104"/>
      <c r="M50" s="104"/>
      <c r="N50" s="104"/>
      <c r="O50" s="192"/>
      <c r="P50" s="191"/>
      <c r="Q50" s="191"/>
      <c r="R50" s="193"/>
    </row>
    <row r="51" spans="1:18" ht="15" customHeight="1" x14ac:dyDescent="0.25">
      <c r="A51" s="542"/>
      <c r="B51" s="639"/>
      <c r="C51" s="1" t="s">
        <v>352</v>
      </c>
      <c r="D51" s="363">
        <f>'S. ADMINISTRATIVO'!AV51</f>
        <v>0</v>
      </c>
      <c r="E51" s="641"/>
      <c r="F51" s="635"/>
      <c r="H51" s="104" t="str">
        <f t="shared" si="8"/>
        <v>Rojo</v>
      </c>
      <c r="I51" s="104"/>
      <c r="J51" s="104"/>
      <c r="K51" s="104"/>
      <c r="L51" s="104"/>
      <c r="M51" s="104"/>
      <c r="N51" s="104"/>
      <c r="O51" s="104"/>
      <c r="P51" s="104"/>
      <c r="Q51" s="104"/>
      <c r="R51" s="104"/>
    </row>
    <row r="52" spans="1:18" x14ac:dyDescent="0.25">
      <c r="A52" s="542"/>
      <c r="B52" s="639"/>
      <c r="C52" s="1" t="s">
        <v>355</v>
      </c>
      <c r="D52" s="363">
        <f>'S. ADMINISTRATIVO'!AV52</f>
        <v>0</v>
      </c>
      <c r="E52" s="641"/>
      <c r="F52" s="635"/>
      <c r="H52" s="104" t="str">
        <f t="shared" si="8"/>
        <v>Rojo</v>
      </c>
      <c r="I52" s="104"/>
      <c r="J52" s="104"/>
      <c r="K52" s="104"/>
      <c r="L52" s="104"/>
      <c r="M52" s="104"/>
      <c r="N52" s="104"/>
      <c r="O52" s="104"/>
      <c r="P52" s="104"/>
      <c r="Q52" s="104"/>
      <c r="R52" s="104"/>
    </row>
    <row r="53" spans="1:18" x14ac:dyDescent="0.25">
      <c r="A53" s="542"/>
      <c r="B53" s="639"/>
      <c r="C53" s="1" t="s">
        <v>358</v>
      </c>
      <c r="D53" s="363">
        <f>'S. ADMINISTRATIVO'!AV53</f>
        <v>0</v>
      </c>
      <c r="E53" s="641"/>
      <c r="F53" s="635"/>
      <c r="H53" s="104" t="str">
        <f t="shared" si="8"/>
        <v>Rojo</v>
      </c>
      <c r="I53" s="104"/>
      <c r="J53" s="104"/>
      <c r="K53" s="104"/>
      <c r="L53" s="104"/>
      <c r="M53" s="104"/>
      <c r="N53" s="104"/>
      <c r="O53" s="104"/>
      <c r="P53" s="104"/>
      <c r="Q53" s="104"/>
      <c r="R53" s="104"/>
    </row>
    <row r="54" spans="1:18" x14ac:dyDescent="0.25">
      <c r="A54" s="542"/>
      <c r="B54" s="639"/>
      <c r="C54" s="1" t="s">
        <v>361</v>
      </c>
      <c r="D54" s="363">
        <f>'S. ADMINISTRATIVO'!AV54</f>
        <v>0</v>
      </c>
      <c r="E54" s="641"/>
      <c r="F54" s="635"/>
      <c r="H54" s="104" t="str">
        <f t="shared" si="8"/>
        <v>Rojo</v>
      </c>
      <c r="I54" s="104"/>
      <c r="J54" s="104"/>
      <c r="K54" s="104"/>
      <c r="L54" s="104"/>
      <c r="M54" s="104"/>
      <c r="N54" s="104"/>
      <c r="O54" s="104"/>
      <c r="P54" s="104"/>
      <c r="Q54" s="104"/>
      <c r="R54" s="104"/>
    </row>
    <row r="55" spans="1:18" ht="15" customHeight="1" x14ac:dyDescent="0.25">
      <c r="A55" s="543"/>
      <c r="B55" s="642"/>
      <c r="C55" s="1" t="s">
        <v>364</v>
      </c>
      <c r="D55" s="363">
        <f>'S. ADMINISTRATIVO'!AV55</f>
        <v>0</v>
      </c>
      <c r="E55" s="643"/>
      <c r="F55" s="636"/>
      <c r="H55" s="104" t="str">
        <f t="shared" si="8"/>
        <v>Rojo</v>
      </c>
      <c r="I55" s="104"/>
      <c r="J55" s="104"/>
      <c r="K55" s="104"/>
      <c r="L55" s="104"/>
      <c r="M55" s="104"/>
      <c r="N55" s="104"/>
      <c r="O55" s="104"/>
      <c r="P55" s="104"/>
      <c r="Q55" s="104"/>
      <c r="R55" s="104"/>
    </row>
    <row r="56" spans="1:18" ht="30" x14ac:dyDescent="0.25">
      <c r="A56" s="351" t="s">
        <v>367</v>
      </c>
      <c r="B56" s="343">
        <v>0.1</v>
      </c>
      <c r="C56" s="1" t="s">
        <v>368</v>
      </c>
      <c r="D56" s="363">
        <f>'S. ADMINISTRATIVO'!AV57</f>
        <v>0</v>
      </c>
      <c r="E56" s="346">
        <f>B56*O47</f>
        <v>0</v>
      </c>
      <c r="F56" s="347">
        <f>R46</f>
        <v>1</v>
      </c>
      <c r="H56" s="104" t="str">
        <f t="shared" si="8"/>
        <v>Rojo</v>
      </c>
      <c r="I56" s="104"/>
      <c r="J56" s="104"/>
      <c r="K56" s="104"/>
      <c r="L56" s="104"/>
      <c r="M56" s="104"/>
      <c r="N56" s="104"/>
      <c r="O56" s="104"/>
      <c r="P56" s="104"/>
      <c r="Q56" s="104"/>
      <c r="R56" s="104"/>
    </row>
    <row r="57" spans="1:18" ht="15" customHeight="1" x14ac:dyDescent="0.25">
      <c r="A57" s="644" t="s">
        <v>371</v>
      </c>
      <c r="B57" s="637">
        <v>0.15</v>
      </c>
      <c r="C57" s="1" t="s">
        <v>372</v>
      </c>
      <c r="D57" s="363">
        <f>'S. ADMINISTRATIVO'!AV58</f>
        <v>0</v>
      </c>
      <c r="E57" s="638">
        <f>B57*O48</f>
        <v>0</v>
      </c>
      <c r="F57" s="647">
        <f>R47</f>
        <v>0.91264947187154999</v>
      </c>
      <c r="H57" s="104" t="str">
        <f t="shared" si="8"/>
        <v>Rojo</v>
      </c>
      <c r="I57" s="104"/>
      <c r="J57" s="104"/>
      <c r="K57" s="104"/>
      <c r="L57" s="104"/>
      <c r="M57" s="104"/>
      <c r="N57" s="104"/>
      <c r="O57" s="104"/>
      <c r="P57" s="104"/>
      <c r="Q57" s="104"/>
      <c r="R57" s="104"/>
    </row>
    <row r="58" spans="1:18" x14ac:dyDescent="0.25">
      <c r="A58" s="645"/>
      <c r="B58" s="542"/>
      <c r="C58" s="1" t="s">
        <v>375</v>
      </c>
      <c r="D58" s="363">
        <f>'S. ADMINISTRATIVO'!AV59</f>
        <v>0</v>
      </c>
      <c r="E58" s="638"/>
      <c r="F58" s="470"/>
      <c r="H58" s="104" t="str">
        <f t="shared" si="8"/>
        <v>Rojo</v>
      </c>
      <c r="I58" s="104"/>
      <c r="J58" s="104"/>
      <c r="K58" s="104"/>
      <c r="L58" s="104"/>
      <c r="M58" s="104"/>
      <c r="N58" s="104"/>
      <c r="O58" s="104"/>
      <c r="P58" s="104"/>
      <c r="Q58" s="104"/>
      <c r="R58" s="104"/>
    </row>
    <row r="59" spans="1:18" ht="15" customHeight="1" x14ac:dyDescent="0.25">
      <c r="A59" s="646"/>
      <c r="B59" s="543"/>
      <c r="C59" s="1" t="s">
        <v>377</v>
      </c>
      <c r="D59" s="363">
        <f>'S. ADMINISTRATIVO'!AV60</f>
        <v>0</v>
      </c>
      <c r="E59" s="638"/>
      <c r="F59" s="470"/>
      <c r="H59" s="104" t="str">
        <f t="shared" si="8"/>
        <v>Rojo</v>
      </c>
      <c r="I59" s="104"/>
      <c r="J59" s="104"/>
      <c r="K59" s="104"/>
      <c r="L59" s="104"/>
      <c r="M59" s="104"/>
      <c r="N59" s="104"/>
      <c r="O59" s="104"/>
      <c r="P59" s="104"/>
      <c r="Q59" s="104"/>
      <c r="R59" s="104"/>
    </row>
    <row r="60" spans="1:18" ht="45" x14ac:dyDescent="0.25">
      <c r="A60" s="333" t="s">
        <v>381</v>
      </c>
      <c r="B60" s="343">
        <v>0.1</v>
      </c>
      <c r="C60" s="1" t="s">
        <v>382</v>
      </c>
      <c r="D60" s="363">
        <f>'S. ADMINISTRATIVO'!AV62</f>
        <v>0</v>
      </c>
      <c r="E60" s="350">
        <f>B60*O49</f>
        <v>0</v>
      </c>
      <c r="F60" s="347">
        <f>R48</f>
        <v>0</v>
      </c>
      <c r="H60" s="104" t="str">
        <f t="shared" si="8"/>
        <v>Rojo</v>
      </c>
      <c r="I60" s="104"/>
      <c r="J60" s="104"/>
      <c r="K60" s="104"/>
      <c r="L60" s="104"/>
      <c r="M60" s="104"/>
      <c r="N60" s="104"/>
      <c r="O60" s="104"/>
      <c r="P60" s="104"/>
      <c r="Q60" s="104"/>
      <c r="R60" s="104"/>
    </row>
    <row r="61" spans="1:18" ht="45" x14ac:dyDescent="0.25">
      <c r="A61" s="333" t="s">
        <v>386</v>
      </c>
      <c r="B61" s="343">
        <v>0.15</v>
      </c>
      <c r="C61" s="1" t="s">
        <v>387</v>
      </c>
      <c r="D61" s="363">
        <f>'S. ADMINISTRATIVO'!AV63</f>
        <v>0</v>
      </c>
      <c r="E61" s="350">
        <f>B61*O49</f>
        <v>0</v>
      </c>
      <c r="F61" s="347">
        <f>R49</f>
        <v>0.80216026450116007</v>
      </c>
      <c r="H61" s="104" t="str">
        <f t="shared" si="8"/>
        <v>Rojo</v>
      </c>
      <c r="I61" s="104"/>
      <c r="J61" s="104"/>
      <c r="K61" s="104"/>
      <c r="L61" s="104"/>
      <c r="M61" s="104"/>
      <c r="N61" s="104"/>
      <c r="O61" s="104"/>
      <c r="P61" s="104"/>
      <c r="Q61" s="104"/>
      <c r="R61" s="104"/>
    </row>
    <row r="62" spans="1:18" x14ac:dyDescent="0.25">
      <c r="A62" s="648" t="s">
        <v>499</v>
      </c>
      <c r="B62" s="648"/>
      <c r="C62" s="648"/>
      <c r="D62" s="648"/>
      <c r="E62" s="201">
        <f>(SUM(E44:E61)/7)</f>
        <v>0</v>
      </c>
      <c r="F62" s="195">
        <f>SUM(F44:F61)/7</f>
        <v>0.54309116916019284</v>
      </c>
      <c r="H62" s="104"/>
      <c r="I62" s="104"/>
      <c r="J62" s="104"/>
      <c r="K62" s="104"/>
      <c r="L62" s="104"/>
      <c r="M62" s="104"/>
      <c r="N62" s="104"/>
      <c r="O62" s="104"/>
      <c r="P62" s="104"/>
      <c r="Q62" s="104"/>
      <c r="R62" s="104"/>
    </row>
    <row r="63" spans="1:18" x14ac:dyDescent="0.25">
      <c r="C63" s="113" t="s">
        <v>500</v>
      </c>
      <c r="H63" s="104"/>
    </row>
    <row r="64" spans="1:18" x14ac:dyDescent="0.25">
      <c r="H64" s="104"/>
    </row>
    <row r="65" spans="1:8" x14ac:dyDescent="0.25">
      <c r="H65" s="104"/>
    </row>
    <row r="66" spans="1:8" ht="15.75" x14ac:dyDescent="0.25">
      <c r="A66" s="111"/>
      <c r="B66" s="111"/>
      <c r="C66" s="111"/>
      <c r="D66" s="111"/>
      <c r="H66" s="104"/>
    </row>
    <row r="67" spans="1:8" ht="30" x14ac:dyDescent="0.25">
      <c r="A67" s="342" t="s">
        <v>489</v>
      </c>
      <c r="B67" s="342" t="s">
        <v>729</v>
      </c>
      <c r="C67" s="342" t="s">
        <v>732</v>
      </c>
      <c r="D67" s="342" t="s">
        <v>7</v>
      </c>
      <c r="H67" s="104"/>
    </row>
    <row r="68" spans="1:8" ht="30" x14ac:dyDescent="0.25">
      <c r="A68" s="11" t="str">
        <f>A44</f>
        <v>SA-PY2.a  Construcción y mantenimiento de las Sedes.</v>
      </c>
      <c r="B68" s="363">
        <f t="shared" ref="B68:B73" si="9">O44</f>
        <v>0</v>
      </c>
      <c r="C68" s="363">
        <f>F44</f>
        <v>0.45744577100558942</v>
      </c>
      <c r="D68" s="363">
        <f>(B68+C68)/2</f>
        <v>0.22872288550279471</v>
      </c>
      <c r="H68" s="104"/>
    </row>
    <row r="69" spans="1:8" ht="30" x14ac:dyDescent="0.25">
      <c r="A69" s="11" t="str">
        <f>A49</f>
        <v>SA-PY2.b  Desarrollo, dotación y Mantenimiento de las Sedes.</v>
      </c>
      <c r="B69" s="363">
        <f t="shared" si="9"/>
        <v>0</v>
      </c>
      <c r="C69" s="363">
        <f>F49</f>
        <v>0.62938267674305004</v>
      </c>
      <c r="D69" s="363">
        <f t="shared" ref="D69:D73" si="10">(B69+C69)/2</f>
        <v>0.31469133837152502</v>
      </c>
      <c r="H69" s="104"/>
    </row>
    <row r="70" spans="1:8" ht="30" x14ac:dyDescent="0.25">
      <c r="A70" s="11" t="str">
        <f>A56</f>
        <v>Proyecto SA-PY2c. Desarrollo Proyectos Institucionales</v>
      </c>
      <c r="B70" s="363">
        <f t="shared" si="9"/>
        <v>0</v>
      </c>
      <c r="C70" s="363">
        <f>F56</f>
        <v>1</v>
      </c>
      <c r="D70" s="363">
        <f t="shared" si="10"/>
        <v>0.5</v>
      </c>
      <c r="H70" s="104"/>
    </row>
    <row r="71" spans="1:8" ht="45" x14ac:dyDescent="0.25">
      <c r="A71" s="11" t="str">
        <f>A57</f>
        <v>SA-PY3.  Aseguramiento de los sistemas de Gestión de Calidad y Gestión Ambiental.</v>
      </c>
      <c r="B71" s="363">
        <f t="shared" si="9"/>
        <v>0</v>
      </c>
      <c r="C71" s="363">
        <f>F57</f>
        <v>0.91264947187154999</v>
      </c>
      <c r="D71" s="363">
        <f t="shared" si="10"/>
        <v>0.45632473593577499</v>
      </c>
      <c r="H71" s="104"/>
    </row>
    <row r="72" spans="1:8" ht="45" x14ac:dyDescent="0.25">
      <c r="A72" s="11" t="str">
        <f>A60</f>
        <v>SA-PY5.  Reestructuración Organizacional académica y administrativa.</v>
      </c>
      <c r="B72" s="363">
        <f t="shared" si="9"/>
        <v>0</v>
      </c>
      <c r="C72" s="363">
        <f>F60</f>
        <v>0</v>
      </c>
      <c r="D72" s="363">
        <f t="shared" si="10"/>
        <v>0</v>
      </c>
      <c r="H72" s="104"/>
    </row>
    <row r="73" spans="1:8" ht="45" x14ac:dyDescent="0.25">
      <c r="A73" s="11" t="str">
        <f>A61</f>
        <v>SA-PY7. Formación y Capacitación al Personal Administrativo y Operativo.</v>
      </c>
      <c r="B73" s="363">
        <f t="shared" si="9"/>
        <v>0</v>
      </c>
      <c r="C73" s="363">
        <f>F61</f>
        <v>0.80216026450116007</v>
      </c>
      <c r="D73" s="363">
        <f t="shared" si="10"/>
        <v>0.40108013225058003</v>
      </c>
      <c r="H73" s="104"/>
    </row>
    <row r="74" spans="1:8" x14ac:dyDescent="0.25">
      <c r="A74" s="341" t="s">
        <v>728</v>
      </c>
      <c r="B74" s="367">
        <f>AVERAGE(B68:B73)</f>
        <v>0</v>
      </c>
      <c r="C74" s="367">
        <f>AVERAGE(C68:C73)</f>
        <v>0.63360636402022497</v>
      </c>
      <c r="D74" s="367">
        <f>AVERAGE(D68:D73)</f>
        <v>0.31680318201011248</v>
      </c>
      <c r="H74" s="104"/>
    </row>
  </sheetData>
  <mergeCells count="32">
    <mergeCell ref="A62:D62"/>
    <mergeCell ref="A49:A55"/>
    <mergeCell ref="B49:B55"/>
    <mergeCell ref="E49:E55"/>
    <mergeCell ref="F49:F55"/>
    <mergeCell ref="A57:A59"/>
    <mergeCell ref="B57:B59"/>
    <mergeCell ref="E57:E59"/>
    <mergeCell ref="F57:F59"/>
    <mergeCell ref="A42:F42"/>
    <mergeCell ref="A44:A48"/>
    <mergeCell ref="B44:B46"/>
    <mergeCell ref="E44:E46"/>
    <mergeCell ref="F44:F48"/>
    <mergeCell ref="B47:B48"/>
    <mergeCell ref="E47:E48"/>
    <mergeCell ref="A21:A23"/>
    <mergeCell ref="B21:B23"/>
    <mergeCell ref="E21:E23"/>
    <mergeCell ref="F21:F23"/>
    <mergeCell ref="A26:D26"/>
    <mergeCell ref="A6:F6"/>
    <mergeCell ref="F13:F19"/>
    <mergeCell ref="F8:F12"/>
    <mergeCell ref="A8:A12"/>
    <mergeCell ref="B8:B10"/>
    <mergeCell ref="E8:E10"/>
    <mergeCell ref="B11:B12"/>
    <mergeCell ref="E11:E12"/>
    <mergeCell ref="A13:A19"/>
    <mergeCell ref="B13:B19"/>
    <mergeCell ref="E13:E19"/>
  </mergeCells>
  <conditionalFormatting sqref="D8:D25">
    <cfRule type="cellIs" dxfId="381" priority="172" operator="greaterThan">
      <formula>50%</formula>
    </cfRule>
    <cfRule type="cellIs" dxfId="380" priority="173" operator="between">
      <formula>37.1%</formula>
      <formula>50%</formula>
    </cfRule>
    <cfRule type="cellIs" dxfId="379" priority="174" operator="between">
      <formula>16%</formula>
      <formula>37%</formula>
    </cfRule>
    <cfRule type="cellIs" dxfId="378" priority="175" operator="lessThan">
      <formula>16%</formula>
    </cfRule>
  </conditionalFormatting>
  <conditionalFormatting sqref="B32:D38">
    <cfRule type="cellIs" dxfId="377" priority="24" operator="greaterThan">
      <formula>50%</formula>
    </cfRule>
    <cfRule type="cellIs" dxfId="376" priority="25" operator="between">
      <formula>37.1%</formula>
      <formula>50%</formula>
    </cfRule>
    <cfRule type="cellIs" dxfId="375" priority="26" operator="between">
      <formula>16%</formula>
      <formula>37%</formula>
    </cfRule>
    <cfRule type="cellIs" dxfId="374" priority="27" operator="lessThan">
      <formula>16%</formula>
    </cfRule>
  </conditionalFormatting>
  <conditionalFormatting sqref="D44">
    <cfRule type="cellIs" dxfId="373" priority="11" operator="equal">
      <formula>0</formula>
    </cfRule>
  </conditionalFormatting>
  <conditionalFormatting sqref="D44">
    <cfRule type="cellIs" dxfId="372" priority="12" operator="greaterThan">
      <formula>74.1%</formula>
    </cfRule>
    <cfRule type="cellIs" dxfId="371" priority="13" operator="between">
      <formula>56.1%</formula>
      <formula>74%</formula>
    </cfRule>
    <cfRule type="cellIs" dxfId="370" priority="14" operator="between">
      <formula>25.1%</formula>
      <formula>56%</formula>
    </cfRule>
    <cfRule type="cellIs" dxfId="369" priority="15" operator="lessThanOrEqual">
      <formula>25%</formula>
    </cfRule>
  </conditionalFormatting>
  <conditionalFormatting sqref="D45:D61">
    <cfRule type="cellIs" dxfId="368" priority="6" operator="equal">
      <formula>0</formula>
    </cfRule>
  </conditionalFormatting>
  <conditionalFormatting sqref="D45:D61">
    <cfRule type="cellIs" dxfId="367" priority="7" operator="greaterThan">
      <formula>74.1%</formula>
    </cfRule>
    <cfRule type="cellIs" dxfId="366" priority="8" operator="between">
      <formula>56.1%</formula>
      <formula>74%</formula>
    </cfRule>
    <cfRule type="cellIs" dxfId="365" priority="9" operator="between">
      <formula>25.1%</formula>
      <formula>56%</formula>
    </cfRule>
    <cfRule type="cellIs" dxfId="364" priority="10" operator="lessThanOrEqual">
      <formula>25%</formula>
    </cfRule>
  </conditionalFormatting>
  <conditionalFormatting sqref="B68:D74">
    <cfRule type="cellIs" dxfId="363" priority="1" operator="equal">
      <formula>0</formula>
    </cfRule>
  </conditionalFormatting>
  <conditionalFormatting sqref="B68:D74">
    <cfRule type="cellIs" dxfId="362" priority="2" operator="greaterThan">
      <formula>74.1%</formula>
    </cfRule>
    <cfRule type="cellIs" dxfId="361" priority="3" operator="between">
      <formula>56.1%</formula>
      <formula>74%</formula>
    </cfRule>
    <cfRule type="cellIs" dxfId="360" priority="4" operator="between">
      <formula>25.1%</formula>
      <formula>56%</formula>
    </cfRule>
    <cfRule type="cellIs" dxfId="359" priority="5" operator="lessThanOrEqual">
      <formula>25%</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6</vt:i4>
      </vt:variant>
    </vt:vector>
  </HeadingPairs>
  <TitlesOfParts>
    <vt:vector size="21" baseType="lpstr">
      <vt:lpstr>Escala</vt:lpstr>
      <vt:lpstr>S. FORMACION </vt:lpstr>
      <vt:lpstr>S. PROY. SOCIAL </vt:lpstr>
      <vt:lpstr>S. INVESTIGACIÓN</vt:lpstr>
      <vt:lpstr>S. BIENESTAR</vt:lpstr>
      <vt:lpstr>S. ADMINISTRATIVO</vt:lpstr>
      <vt:lpstr>SEGUIMIENTO</vt:lpstr>
      <vt:lpstr>Ejecución $</vt:lpstr>
      <vt:lpstr>ADMINISTRATIVO</vt:lpstr>
      <vt:lpstr>BIENESTAR</vt:lpstr>
      <vt:lpstr>PROPYECCION SOCIAL</vt:lpstr>
      <vt:lpstr>INVESTIGACIÓN</vt:lpstr>
      <vt:lpstr>FORMACIÓN</vt:lpstr>
      <vt:lpstr>Asignación</vt:lpstr>
      <vt:lpstr>Plan desarroollo</vt:lpstr>
      <vt:lpstr>'S. ADMINISTRATIVO'!Títulos_a_imprimir</vt:lpstr>
      <vt:lpstr>'S. BIENESTAR'!Títulos_a_imprimir</vt:lpstr>
      <vt:lpstr>'S. FORMACION '!Títulos_a_imprimir</vt:lpstr>
      <vt:lpstr>'S. INVESTIGACIÓN'!Títulos_a_imprimir</vt:lpstr>
      <vt:lpstr>'S. PROY. SOCIAL '!Títulos_a_imprimir</vt:lpstr>
      <vt:lpstr>SEGUIMIENTO!Títulos_a_imprimir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Leidy Rocio Murillo</dc:creator>
  <cp:lastModifiedBy>Leidy Rocio Murillo</cp:lastModifiedBy>
  <cp:lastPrinted>2017-08-10T21:16:46Z</cp:lastPrinted>
  <dcterms:created xsi:type="dcterms:W3CDTF">2017-07-07T15:04:02Z</dcterms:created>
  <dcterms:modified xsi:type="dcterms:W3CDTF">2018-05-15T21:44:30Z</dcterms:modified>
</cp:coreProperties>
</file>